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90" yWindow="4200" windowWidth="16890" windowHeight="14640"/>
  </bookViews>
  <sheets>
    <sheet name="Финансирование" sheetId="1" r:id="rId1"/>
    <sheet name="Показатели, Критерии" sheetId="2" r:id="rId2"/>
    <sheet name="План реализации" sheetId="5" r:id="rId3"/>
  </sheets>
  <definedNames>
    <definedName name="_xlnm.Print_Area" localSheetId="2">'План реализации'!$A$1:$Q$190</definedName>
    <definedName name="_xlnm.Print_Area" localSheetId="1">'Показатели, Критерии'!$A$1:$G$86</definedName>
    <definedName name="_xlnm.Print_Area" localSheetId="0">Финансирование!$A$1:$AA$166</definedName>
  </definedNames>
  <calcPr calcId="152511"/>
</workbook>
</file>

<file path=xl/calcChain.xml><?xml version="1.0" encoding="utf-8"?>
<calcChain xmlns="http://schemas.openxmlformats.org/spreadsheetml/2006/main">
  <c r="O152" i="5" l="1"/>
  <c r="K152" i="5"/>
  <c r="I152" i="5"/>
  <c r="T68" i="1" l="1"/>
  <c r="T30" i="1" l="1"/>
  <c r="O12" i="5" l="1"/>
  <c r="N12" i="5"/>
  <c r="M12" i="5"/>
  <c r="K70" i="5" l="1"/>
  <c r="L71" i="5"/>
  <c r="L97" i="5"/>
  <c r="L146" i="5" l="1"/>
  <c r="L140" i="5"/>
  <c r="L138" i="5"/>
  <c r="L136" i="5"/>
  <c r="L135" i="5"/>
  <c r="L133" i="5"/>
  <c r="L131" i="5"/>
  <c r="L129" i="5"/>
  <c r="L126" i="5"/>
  <c r="L125" i="5"/>
  <c r="L124" i="5"/>
  <c r="L123" i="5"/>
  <c r="L120" i="5"/>
  <c r="L119" i="5"/>
  <c r="L117" i="5"/>
  <c r="L116" i="5"/>
  <c r="L115" i="5"/>
  <c r="L113" i="5"/>
  <c r="L112" i="5"/>
  <c r="L110" i="5"/>
  <c r="L107" i="5"/>
  <c r="L105" i="5"/>
  <c r="L103" i="5"/>
  <c r="L100" i="5"/>
  <c r="L73" i="5"/>
  <c r="L75" i="5"/>
  <c r="L76" i="5"/>
  <c r="L77" i="5"/>
  <c r="L78" i="5"/>
  <c r="L79" i="5"/>
  <c r="L80" i="5"/>
  <c r="L87" i="5"/>
  <c r="L72" i="5"/>
  <c r="L67" i="5"/>
  <c r="L58" i="5"/>
  <c r="L56" i="5"/>
  <c r="L50" i="5"/>
  <c r="L54" i="5"/>
  <c r="L49" i="5"/>
  <c r="L46" i="5"/>
  <c r="Y87" i="1" l="1"/>
  <c r="Y72" i="1"/>
  <c r="L42" i="5" l="1"/>
  <c r="L41" i="5"/>
  <c r="L36" i="5"/>
  <c r="L34" i="5"/>
  <c r="L32" i="5"/>
  <c r="L31" i="5"/>
  <c r="L30" i="5"/>
  <c r="L29" i="5"/>
  <c r="L27" i="5"/>
  <c r="L24" i="5"/>
  <c r="L22" i="5"/>
  <c r="L21" i="5"/>
  <c r="L20" i="5"/>
  <c r="L19" i="5"/>
  <c r="L18" i="5"/>
  <c r="L17" i="5"/>
  <c r="L16" i="5"/>
  <c r="L15" i="5"/>
  <c r="L14" i="5"/>
  <c r="L13" i="5"/>
  <c r="L11" i="5"/>
  <c r="K97" i="5" l="1"/>
  <c r="O97" i="5" l="1"/>
  <c r="K12" i="5"/>
  <c r="I56" i="5" l="1"/>
  <c r="J10" i="5" l="1"/>
  <c r="I10" i="5"/>
  <c r="K10" i="5"/>
  <c r="W39" i="5"/>
  <c r="W38" i="5"/>
  <c r="X39" i="5"/>
  <c r="X38" i="5"/>
  <c r="Y38" i="5" l="1"/>
  <c r="Y39" i="5"/>
  <c r="Y94" i="1"/>
  <c r="P15" i="1" l="1"/>
  <c r="AD66" i="1" l="1"/>
  <c r="E15" i="1" l="1"/>
  <c r="K15" i="1" l="1"/>
  <c r="N15" i="1"/>
  <c r="AB28" i="1" l="1"/>
  <c r="AH26" i="1" l="1"/>
  <c r="AB23" i="1" l="1"/>
  <c r="AB16" i="1"/>
  <c r="AB17" i="1"/>
  <c r="AB18" i="1"/>
  <c r="AB19" i="1"/>
  <c r="AB20" i="1"/>
  <c r="AB21" i="1"/>
  <c r="AB22" i="1"/>
  <c r="AB24" i="1"/>
  <c r="AB25" i="1"/>
  <c r="AB26" i="1"/>
  <c r="AB27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7" i="1"/>
  <c r="AB68" i="1"/>
  <c r="AB70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7" i="1"/>
  <c r="AB88" i="1"/>
  <c r="AB89" i="1"/>
  <c r="AB91" i="1"/>
  <c r="AB92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C16" i="1" l="1"/>
  <c r="AD11" i="1"/>
  <c r="AE11" i="1"/>
  <c r="T90" i="1" l="1"/>
  <c r="T86" i="1" l="1"/>
  <c r="L10" i="5" l="1"/>
  <c r="M10" i="5"/>
  <c r="N10" i="5"/>
  <c r="O10" i="5"/>
  <c r="P10" i="5"/>
  <c r="W11" i="5"/>
  <c r="X11" i="5"/>
  <c r="I12" i="5"/>
  <c r="W13" i="5"/>
  <c r="X13" i="5"/>
  <c r="W14" i="5"/>
  <c r="X14" i="5"/>
  <c r="W15" i="5"/>
  <c r="X15" i="5"/>
  <c r="W16" i="5"/>
  <c r="X16" i="5"/>
  <c r="W17" i="5"/>
  <c r="X17" i="5"/>
  <c r="W18" i="5"/>
  <c r="Y18" i="5" s="1"/>
  <c r="X18" i="5"/>
  <c r="W19" i="5"/>
  <c r="X19" i="5"/>
  <c r="W20" i="5"/>
  <c r="Y20" i="5" s="1"/>
  <c r="X20" i="5"/>
  <c r="W21" i="5"/>
  <c r="X21" i="5"/>
  <c r="W22" i="5"/>
  <c r="X22" i="5"/>
  <c r="T23" i="5"/>
  <c r="W23" i="5"/>
  <c r="X23" i="5"/>
  <c r="W24" i="5"/>
  <c r="X24" i="5"/>
  <c r="W25" i="5"/>
  <c r="X25" i="5"/>
  <c r="W27" i="5"/>
  <c r="X27" i="5"/>
  <c r="W28" i="5"/>
  <c r="X28" i="5"/>
  <c r="W29" i="5"/>
  <c r="X29" i="5"/>
  <c r="W30" i="5"/>
  <c r="X30" i="5"/>
  <c r="W31" i="5"/>
  <c r="X31" i="5"/>
  <c r="W32" i="5"/>
  <c r="X32" i="5"/>
  <c r="W33" i="5"/>
  <c r="X33" i="5"/>
  <c r="W34" i="5"/>
  <c r="X34" i="5"/>
  <c r="W35" i="5"/>
  <c r="X35" i="5"/>
  <c r="W36" i="5"/>
  <c r="X36" i="5"/>
  <c r="W37" i="5"/>
  <c r="X37" i="5"/>
  <c r="W40" i="5"/>
  <c r="X40" i="5"/>
  <c r="W41" i="5"/>
  <c r="X41" i="5"/>
  <c r="W42" i="5"/>
  <c r="X42" i="5"/>
  <c r="W43" i="5"/>
  <c r="X43" i="5"/>
  <c r="W44" i="5"/>
  <c r="X44" i="5"/>
  <c r="W45" i="5"/>
  <c r="X45" i="5"/>
  <c r="W46" i="5"/>
  <c r="X46" i="5"/>
  <c r="W47" i="5"/>
  <c r="X47" i="5"/>
  <c r="Y47" i="5" s="1"/>
  <c r="W48" i="5"/>
  <c r="Y48" i="5" s="1"/>
  <c r="X48" i="5"/>
  <c r="W49" i="5"/>
  <c r="X49" i="5"/>
  <c r="W50" i="5"/>
  <c r="X50" i="5"/>
  <c r="W51" i="5"/>
  <c r="X51" i="5"/>
  <c r="W52" i="5"/>
  <c r="X52" i="5"/>
  <c r="W53" i="5"/>
  <c r="X53" i="5"/>
  <c r="W54" i="5"/>
  <c r="X54" i="5"/>
  <c r="W55" i="5"/>
  <c r="X55" i="5"/>
  <c r="Y55" i="5" s="1"/>
  <c r="J56" i="5"/>
  <c r="J12" i="5" s="1"/>
  <c r="L12" i="5"/>
  <c r="P12" i="5"/>
  <c r="P152" i="5" s="1"/>
  <c r="W57" i="5"/>
  <c r="X57" i="5"/>
  <c r="W61" i="5"/>
  <c r="X61" i="5"/>
  <c r="W62" i="5"/>
  <c r="X62" i="5"/>
  <c r="W63" i="5"/>
  <c r="X63" i="5"/>
  <c r="W64" i="5"/>
  <c r="Y64" i="5" s="1"/>
  <c r="X64" i="5"/>
  <c r="I70" i="5"/>
  <c r="J70" i="5"/>
  <c r="L70" i="5"/>
  <c r="M70" i="5"/>
  <c r="N70" i="5"/>
  <c r="O70" i="5"/>
  <c r="P70" i="5"/>
  <c r="W71" i="5"/>
  <c r="X71" i="5"/>
  <c r="W72" i="5"/>
  <c r="X72" i="5"/>
  <c r="W73" i="5"/>
  <c r="X73" i="5"/>
  <c r="W75" i="5"/>
  <c r="X75" i="5"/>
  <c r="W76" i="5"/>
  <c r="X76" i="5"/>
  <c r="W77" i="5"/>
  <c r="Y77" i="5" s="1"/>
  <c r="X77" i="5"/>
  <c r="W78" i="5"/>
  <c r="X78" i="5"/>
  <c r="W79" i="5"/>
  <c r="Y79" i="5" s="1"/>
  <c r="X79" i="5"/>
  <c r="W80" i="5"/>
  <c r="X80" i="5"/>
  <c r="W82" i="5"/>
  <c r="Y82" i="5" s="1"/>
  <c r="X82" i="5"/>
  <c r="W83" i="5"/>
  <c r="X83" i="5"/>
  <c r="Y83" i="5" s="1"/>
  <c r="W84" i="5"/>
  <c r="X84" i="5"/>
  <c r="Y84" i="5" s="1"/>
  <c r="W85" i="5"/>
  <c r="X85" i="5"/>
  <c r="W86" i="5"/>
  <c r="X86" i="5"/>
  <c r="W87" i="5"/>
  <c r="X87" i="5"/>
  <c r="Y87" i="5" s="1"/>
  <c r="W88" i="5"/>
  <c r="X88" i="5"/>
  <c r="Y88" i="5"/>
  <c r="W89" i="5"/>
  <c r="Y89" i="5" s="1"/>
  <c r="X89" i="5"/>
  <c r="W90" i="5"/>
  <c r="X90" i="5"/>
  <c r="W91" i="5"/>
  <c r="X91" i="5"/>
  <c r="W93" i="5"/>
  <c r="X93" i="5"/>
  <c r="Y93" i="5" s="1"/>
  <c r="W94" i="5"/>
  <c r="Y94" i="5" s="1"/>
  <c r="X94" i="5"/>
  <c r="W95" i="5"/>
  <c r="X95" i="5"/>
  <c r="W96" i="5"/>
  <c r="X96" i="5"/>
  <c r="P97" i="5"/>
  <c r="W98" i="5"/>
  <c r="X98" i="5"/>
  <c r="Y98" i="5" s="1"/>
  <c r="I99" i="5"/>
  <c r="J99" i="5"/>
  <c r="L99" i="5" s="1"/>
  <c r="M99" i="5"/>
  <c r="M97" i="5" s="1"/>
  <c r="W100" i="5"/>
  <c r="X100" i="5"/>
  <c r="W102" i="5"/>
  <c r="X102" i="5"/>
  <c r="W103" i="5"/>
  <c r="X103" i="5"/>
  <c r="I104" i="5"/>
  <c r="I101" i="5" s="1"/>
  <c r="W101" i="5" s="1"/>
  <c r="J104" i="5"/>
  <c r="M104" i="5"/>
  <c r="M101" i="5" s="1"/>
  <c r="W105" i="5"/>
  <c r="Y105" i="5" s="1"/>
  <c r="X105" i="5"/>
  <c r="W106" i="5"/>
  <c r="X106" i="5"/>
  <c r="W107" i="5"/>
  <c r="X107" i="5"/>
  <c r="W108" i="5"/>
  <c r="X108" i="5"/>
  <c r="Y108" i="5"/>
  <c r="W110" i="5"/>
  <c r="X110" i="5"/>
  <c r="W111" i="5"/>
  <c r="X111" i="5"/>
  <c r="W112" i="5"/>
  <c r="X112" i="5"/>
  <c r="Y112" i="5" s="1"/>
  <c r="W113" i="5"/>
  <c r="X113" i="5"/>
  <c r="Y113" i="5" s="1"/>
  <c r="W114" i="5"/>
  <c r="X114" i="5"/>
  <c r="W115" i="5"/>
  <c r="X115" i="5"/>
  <c r="W116" i="5"/>
  <c r="X116" i="5"/>
  <c r="W117" i="5"/>
  <c r="X117" i="5"/>
  <c r="Y117" i="5" s="1"/>
  <c r="W118" i="5"/>
  <c r="X118" i="5"/>
  <c r="W119" i="5"/>
  <c r="X119" i="5"/>
  <c r="W120" i="5"/>
  <c r="X120" i="5"/>
  <c r="Y120" i="5" s="1"/>
  <c r="W122" i="5"/>
  <c r="X122" i="5"/>
  <c r="W123" i="5"/>
  <c r="X123" i="5"/>
  <c r="W124" i="5"/>
  <c r="X124" i="5"/>
  <c r="W125" i="5"/>
  <c r="X125" i="5"/>
  <c r="Y125" i="5" s="1"/>
  <c r="W126" i="5"/>
  <c r="X126" i="5"/>
  <c r="W127" i="5"/>
  <c r="X127" i="5"/>
  <c r="W129" i="5"/>
  <c r="X129" i="5"/>
  <c r="W130" i="5"/>
  <c r="X130" i="5"/>
  <c r="Y130" i="5" s="1"/>
  <c r="W131" i="5"/>
  <c r="X131" i="5"/>
  <c r="W132" i="5"/>
  <c r="X132" i="5"/>
  <c r="W133" i="5"/>
  <c r="X133" i="5"/>
  <c r="W134" i="5"/>
  <c r="X134" i="5"/>
  <c r="Y134" i="5" s="1"/>
  <c r="W135" i="5"/>
  <c r="X135" i="5"/>
  <c r="W136" i="5"/>
  <c r="X136" i="5"/>
  <c r="W137" i="5"/>
  <c r="X137" i="5"/>
  <c r="W138" i="5"/>
  <c r="X138" i="5"/>
  <c r="W139" i="5"/>
  <c r="Y139" i="5" s="1"/>
  <c r="X139" i="5"/>
  <c r="W140" i="5"/>
  <c r="X140" i="5"/>
  <c r="W141" i="5"/>
  <c r="Y141" i="5" s="1"/>
  <c r="X141" i="5"/>
  <c r="W143" i="5"/>
  <c r="X143" i="5"/>
  <c r="W144" i="5"/>
  <c r="Y144" i="5" s="1"/>
  <c r="X144" i="5"/>
  <c r="W146" i="5"/>
  <c r="X146" i="5"/>
  <c r="W147" i="5"/>
  <c r="Y147" i="5" s="1"/>
  <c r="X147" i="5"/>
  <c r="W148" i="5"/>
  <c r="X148" i="5"/>
  <c r="Y148" i="5" s="1"/>
  <c r="W151" i="5"/>
  <c r="Y151" i="5" s="1"/>
  <c r="X151" i="5"/>
  <c r="Y102" i="5" l="1"/>
  <c r="Y137" i="5"/>
  <c r="Y95" i="5"/>
  <c r="W99" i="5"/>
  <c r="Y132" i="5"/>
  <c r="Y118" i="5"/>
  <c r="Y114" i="5"/>
  <c r="X104" i="5"/>
  <c r="L104" i="5"/>
  <c r="Y96" i="5"/>
  <c r="Y91" i="5"/>
  <c r="T70" i="5"/>
  <c r="Y62" i="5"/>
  <c r="T10" i="5"/>
  <c r="Y146" i="5"/>
  <c r="Y140" i="5"/>
  <c r="Y136" i="5"/>
  <c r="Y135" i="5"/>
  <c r="Y133" i="5"/>
  <c r="Y131" i="5"/>
  <c r="Y129" i="5"/>
  <c r="Y127" i="5"/>
  <c r="Y126" i="5"/>
  <c r="Y124" i="5"/>
  <c r="Y123" i="5"/>
  <c r="Y122" i="5"/>
  <c r="Y119" i="5"/>
  <c r="Y115" i="5"/>
  <c r="Y106" i="5"/>
  <c r="Y103" i="5"/>
  <c r="Y100" i="5"/>
  <c r="Y75" i="5"/>
  <c r="Y76" i="5"/>
  <c r="Y80" i="5"/>
  <c r="Y85" i="5"/>
  <c r="Y86" i="5"/>
  <c r="Y90" i="5"/>
  <c r="Y72" i="5"/>
  <c r="Y71" i="5"/>
  <c r="X70" i="5"/>
  <c r="Y61" i="5"/>
  <c r="Y49" i="5"/>
  <c r="Y34" i="5"/>
  <c r="Y30" i="5"/>
  <c r="Y14" i="5"/>
  <c r="Y143" i="5"/>
  <c r="Y138" i="5"/>
  <c r="Y116" i="5"/>
  <c r="Y110" i="5"/>
  <c r="Y111" i="5"/>
  <c r="Y107" i="5"/>
  <c r="Y78" i="5"/>
  <c r="Y73" i="5"/>
  <c r="Y63" i="5"/>
  <c r="Y52" i="5"/>
  <c r="Y37" i="5"/>
  <c r="Y29" i="5"/>
  <c r="Y24" i="5"/>
  <c r="Y11" i="5"/>
  <c r="Y19" i="5"/>
  <c r="Y15" i="5"/>
  <c r="S10" i="5"/>
  <c r="Y25" i="5"/>
  <c r="Y31" i="5"/>
  <c r="Y23" i="5"/>
  <c r="Y44" i="5"/>
  <c r="Y42" i="5"/>
  <c r="Y40" i="5"/>
  <c r="Y57" i="5"/>
  <c r="Y54" i="5"/>
  <c r="Y45" i="5"/>
  <c r="Y43" i="5"/>
  <c r="Y50" i="5"/>
  <c r="Y41" i="5"/>
  <c r="Y53" i="5"/>
  <c r="Y51" i="5"/>
  <c r="Y46" i="5"/>
  <c r="Y35" i="5"/>
  <c r="Y33" i="5"/>
  <c r="Y28" i="5"/>
  <c r="Y16" i="5"/>
  <c r="Y36" i="5"/>
  <c r="Y32" i="5"/>
  <c r="Y27" i="5"/>
  <c r="Y22" i="5"/>
  <c r="Y21" i="5"/>
  <c r="Y17" i="5"/>
  <c r="Y13" i="5"/>
  <c r="T12" i="5"/>
  <c r="X12" i="5"/>
  <c r="S12" i="5"/>
  <c r="W12" i="5"/>
  <c r="N97" i="5"/>
  <c r="N152" i="5" s="1"/>
  <c r="M152" i="5"/>
  <c r="I97" i="5"/>
  <c r="J101" i="5"/>
  <c r="J97" i="5" s="1"/>
  <c r="X56" i="5"/>
  <c r="W104" i="5"/>
  <c r="X99" i="5"/>
  <c r="Y99" i="5" s="1"/>
  <c r="W70" i="5"/>
  <c r="W56" i="5"/>
  <c r="S70" i="5"/>
  <c r="T71" i="1"/>
  <c r="T66" i="1"/>
  <c r="L101" i="5" l="1"/>
  <c r="L152" i="5" s="1"/>
  <c r="Y104" i="5"/>
  <c r="Y70" i="5"/>
  <c r="Y56" i="5"/>
  <c r="S97" i="5"/>
  <c r="W97" i="5"/>
  <c r="X97" i="5"/>
  <c r="X152" i="5" s="1"/>
  <c r="J152" i="5"/>
  <c r="Y12" i="5"/>
  <c r="Y42" i="1"/>
  <c r="T97" i="5" l="1"/>
  <c r="X101" i="5"/>
  <c r="Y101" i="5" s="1"/>
  <c r="R152" i="5"/>
  <c r="W152" i="5"/>
  <c r="Y152" i="5" s="1"/>
  <c r="Y97" i="5"/>
  <c r="N85" i="1" l="1"/>
  <c r="E93" i="1" l="1"/>
  <c r="K93" i="1"/>
  <c r="P71" i="1" l="1"/>
  <c r="P66" i="1"/>
  <c r="AC32" i="1"/>
  <c r="P69" i="1" l="1"/>
  <c r="K66" i="1"/>
  <c r="AB66" i="1" s="1"/>
  <c r="P65" i="1" l="1"/>
  <c r="AC106" i="1"/>
  <c r="I85" i="1"/>
  <c r="K90" i="1"/>
  <c r="K86" i="1"/>
  <c r="K71" i="1"/>
  <c r="E66" i="1"/>
  <c r="AB15" i="1"/>
  <c r="D15" i="1"/>
  <c r="K85" i="1" l="1"/>
  <c r="K69" i="1"/>
  <c r="AB71" i="1"/>
  <c r="T15" i="1"/>
  <c r="F15" i="1"/>
  <c r="G15" i="1"/>
  <c r="H15" i="1"/>
  <c r="I15" i="1"/>
  <c r="J15" i="1"/>
  <c r="L15" i="1"/>
  <c r="M15" i="1"/>
  <c r="O15" i="1"/>
  <c r="Q15" i="1"/>
  <c r="R15" i="1"/>
  <c r="S15" i="1"/>
  <c r="D85" i="1"/>
  <c r="AC39" i="1"/>
  <c r="AC17" i="1"/>
  <c r="AC18" i="1"/>
  <c r="AC19" i="1"/>
  <c r="AC20" i="1"/>
  <c r="AC21" i="1"/>
  <c r="AC22" i="1"/>
  <c r="AC23" i="1"/>
  <c r="AC24" i="1"/>
  <c r="AC25" i="1"/>
  <c r="AC27" i="1"/>
  <c r="AC28" i="1"/>
  <c r="AC30" i="1"/>
  <c r="AC31" i="1"/>
  <c r="AC33" i="1"/>
  <c r="AC34" i="1"/>
  <c r="AC36" i="1"/>
  <c r="AC37" i="1"/>
  <c r="AC41" i="1"/>
  <c r="AC42" i="1"/>
  <c r="AC43" i="1"/>
  <c r="AC44" i="1"/>
  <c r="AC47" i="1"/>
  <c r="AC48" i="1"/>
  <c r="AC49" i="1"/>
  <c r="AC50" i="1"/>
  <c r="AC51" i="1"/>
  <c r="AC53" i="1"/>
  <c r="AC54" i="1"/>
  <c r="AC55" i="1"/>
  <c r="AC56" i="1"/>
  <c r="AC57" i="1"/>
  <c r="AC58" i="1"/>
  <c r="AC59" i="1"/>
  <c r="AC60" i="1"/>
  <c r="AC62" i="1"/>
  <c r="AC63" i="1"/>
  <c r="AC64" i="1"/>
  <c r="AC66" i="1"/>
  <c r="AC70" i="1"/>
  <c r="AC73" i="1"/>
  <c r="AC74" i="1"/>
  <c r="AC75" i="1"/>
  <c r="AC76" i="1"/>
  <c r="AC77" i="1"/>
  <c r="AC78" i="1"/>
  <c r="AC79" i="1"/>
  <c r="AC80" i="1"/>
  <c r="AC84" i="1"/>
  <c r="AC91" i="1"/>
  <c r="AC92" i="1"/>
  <c r="AC95" i="1"/>
  <c r="AC96" i="1"/>
  <c r="AC97" i="1"/>
  <c r="AC98" i="1"/>
  <c r="AC99" i="1"/>
  <c r="AC100" i="1"/>
  <c r="AC101" i="1"/>
  <c r="AC103" i="1"/>
  <c r="AC104" i="1"/>
  <c r="AC105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20" i="1"/>
  <c r="AC122" i="1"/>
  <c r="AC123" i="1"/>
  <c r="AC125" i="1"/>
  <c r="E86" i="1"/>
  <c r="S65" i="1"/>
  <c r="R65" i="1"/>
  <c r="Q65" i="1"/>
  <c r="O65" i="1"/>
  <c r="N65" i="1"/>
  <c r="N11" i="1" s="1"/>
  <c r="M65" i="1"/>
  <c r="L65" i="1"/>
  <c r="J65" i="1"/>
  <c r="I65" i="1"/>
  <c r="H65" i="1"/>
  <c r="G65" i="1"/>
  <c r="F65" i="1"/>
  <c r="D65" i="1"/>
  <c r="E71" i="1"/>
  <c r="E69" i="1" s="1"/>
  <c r="AB69" i="1" l="1"/>
  <c r="K65" i="1"/>
  <c r="AB65" i="1" s="1"/>
  <c r="E90" i="1"/>
  <c r="E85" i="1" s="1"/>
  <c r="E65" i="1"/>
  <c r="AC14" i="1" l="1"/>
  <c r="AC94" i="1" l="1"/>
  <c r="AC87" i="1"/>
  <c r="AC72" i="1"/>
  <c r="P86" i="1" l="1"/>
  <c r="AB86" i="1" s="1"/>
  <c r="S85" i="1" l="1"/>
  <c r="R85" i="1"/>
  <c r="Q85" i="1"/>
  <c r="O85" i="1"/>
  <c r="M85" i="1"/>
  <c r="L85" i="1"/>
  <c r="T93" i="1" l="1"/>
  <c r="T85" i="1" s="1"/>
  <c r="P93" i="1"/>
  <c r="AB93" i="1" s="1"/>
  <c r="J85" i="1"/>
  <c r="I11" i="1"/>
  <c r="H85" i="1"/>
  <c r="G85" i="1"/>
  <c r="F85" i="1"/>
  <c r="P90" i="1" l="1"/>
  <c r="D11" i="1"/>
  <c r="S11" i="1"/>
  <c r="E11" i="1"/>
  <c r="F11" i="1"/>
  <c r="J11" i="1"/>
  <c r="G11" i="1"/>
  <c r="H11" i="1"/>
  <c r="L11" i="1"/>
  <c r="Q11" i="1"/>
  <c r="R11" i="1"/>
  <c r="O11" i="1"/>
  <c r="T69" i="1"/>
  <c r="M11" i="1"/>
  <c r="P85" i="1" l="1"/>
  <c r="AB85" i="1" s="1"/>
  <c r="AB90" i="1"/>
  <c r="T65" i="1"/>
  <c r="T11" i="1" s="1"/>
  <c r="P11" i="1" l="1"/>
  <c r="K11" i="1"/>
</calcChain>
</file>

<file path=xl/sharedStrings.xml><?xml version="1.0" encoding="utf-8"?>
<sst xmlns="http://schemas.openxmlformats.org/spreadsheetml/2006/main" count="1266" uniqueCount="437">
  <si>
    <t xml:space="preserve">ОТЧЕТ </t>
  </si>
  <si>
    <t>об исполнении финансирования государственной программы Краснодарского края</t>
  </si>
  <si>
    <t>"Социальная поддержка граждан"</t>
  </si>
  <si>
    <t xml:space="preserve">наименование государственной программы </t>
  </si>
  <si>
    <t>Номер  мероп-риятия</t>
  </si>
  <si>
    <t>Наименование основного мероприятия, подпрограммы, мероприятия подпрограммы, ведомственной целевой программы</t>
  </si>
  <si>
    <t>Государственный заказчик, получатель субсидий (субвенций), ответственный за выполнение мероприятий, исполнитель</t>
  </si>
  <si>
    <t>Объем финансирования в тыс. рублей, предусмотренный на отчетную дату:</t>
  </si>
  <si>
    <t>Профинансировано (кассовое исполнение) в отчетном периоде, тыс. рублей</t>
  </si>
  <si>
    <t>Непосредственный результат реализации мероприятия</t>
  </si>
  <si>
    <t xml:space="preserve">Отметка о выполнении мероприятия </t>
  </si>
  <si>
    <t xml:space="preserve">Причины невыполнения (несвоевременного выполнения) мероприятия </t>
  </si>
  <si>
    <t>уточненной сводной бюджетной росписью</t>
  </si>
  <si>
    <t>соглашениями с муниципальными образованиями</t>
  </si>
  <si>
    <t>федеральный бюджет</t>
  </si>
  <si>
    <t>краевой бюджет</t>
  </si>
  <si>
    <r>
      <t>краевой бюджет</t>
    </r>
    <r>
      <rPr>
        <i/>
        <vertAlign val="superscript"/>
        <sz val="28"/>
        <rFont val="Times New Roman"/>
        <family val="1"/>
        <charset val="204"/>
      </rPr>
      <t>6)</t>
    </r>
  </si>
  <si>
    <t>местный бюджет</t>
  </si>
  <si>
    <t>внебюджетные  источники</t>
  </si>
  <si>
    <t>наименование</t>
  </si>
  <si>
    <t>единица измерения</t>
  </si>
  <si>
    <t>плановое значение</t>
  </si>
  <si>
    <t>фактическое значение</t>
  </si>
  <si>
    <t>ВСЕГО 
по государственной программе, в том числе:</t>
  </si>
  <si>
    <t>Х</t>
  </si>
  <si>
    <t>Всего
по основным мероприятиям государственной программы, в том числе:</t>
  </si>
  <si>
    <t>1.1.1.1</t>
  </si>
  <si>
    <t>министерство труда и социального развития Краснодарского края</t>
  </si>
  <si>
    <t>1.</t>
  </si>
  <si>
    <t>Всего по подпрограмме , "Развитие мер социальной поддержки отдельных категорий граждан" в том числе:</t>
  </si>
  <si>
    <t>человек</t>
  </si>
  <si>
    <t>выполнено</t>
  </si>
  <si>
    <t>1.1.1.2</t>
  </si>
  <si>
    <t>1.1.1.3</t>
  </si>
  <si>
    <t>1.1.2.2</t>
  </si>
  <si>
    <t>1.1.2.3</t>
  </si>
  <si>
    <t>1.1.2.4</t>
  </si>
  <si>
    <t>1.1.2.5</t>
  </si>
  <si>
    <t>1.3</t>
  </si>
  <si>
    <t>1.1.3.2</t>
  </si>
  <si>
    <t>семей</t>
  </si>
  <si>
    <t>1.1.3.3</t>
  </si>
  <si>
    <t>1.1.3.4</t>
  </si>
  <si>
    <t>1.1.3.5</t>
  </si>
  <si>
    <t>1.1.4</t>
  </si>
  <si>
    <t>1.1.4.1</t>
  </si>
  <si>
    <t>1.1.4.2</t>
  </si>
  <si>
    <t>1.1.4.3</t>
  </si>
  <si>
    <t>1.5</t>
  </si>
  <si>
    <t>1.1.5.2</t>
  </si>
  <si>
    <t>1.1.5.4</t>
  </si>
  <si>
    <t>1.1.5.5</t>
  </si>
  <si>
    <t>1.1.6.1</t>
  </si>
  <si>
    <t>1.1.6.2</t>
  </si>
  <si>
    <t>1.1.7.2</t>
  </si>
  <si>
    <t>1.1.7.3</t>
  </si>
  <si>
    <t>1.1.7.5</t>
  </si>
  <si>
    <t>1.1.7.6</t>
  </si>
  <si>
    <t>1.1.7.7</t>
  </si>
  <si>
    <t>1.1.8.2</t>
  </si>
  <si>
    <t>1.1.8.3</t>
  </si>
  <si>
    <t>1.1.8.5</t>
  </si>
  <si>
    <t>тыс. чел.</t>
  </si>
  <si>
    <t>1.1.8.6</t>
  </si>
  <si>
    <t>тыс.штук</t>
  </si>
  <si>
    <t>1.1.9.1</t>
  </si>
  <si>
    <t>Оказание государственной социальной помощи малоимущим семьям, малоимущим одиноко проживающим гражданам</t>
  </si>
  <si>
    <t>1.1.10.3</t>
  </si>
  <si>
    <t>1.1.10.4</t>
  </si>
  <si>
    <t>0</t>
  </si>
  <si>
    <t xml:space="preserve">человек </t>
  </si>
  <si>
    <t>2.</t>
  </si>
  <si>
    <t>Всего по подпрограмме  "Модернизация и развитие социального обслуживания населения" в  том числе:</t>
  </si>
  <si>
    <t>1.1.1</t>
  </si>
  <si>
    <t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</t>
  </si>
  <si>
    <t>казенных учреждений</t>
  </si>
  <si>
    <t>1.1.1.2.1</t>
  </si>
  <si>
    <t>предоставление субсидий государственным бюджетным и автономным учреждениям</t>
  </si>
  <si>
    <t>1.1.2.1</t>
  </si>
  <si>
    <t xml:space="preserve"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 </t>
  </si>
  <si>
    <t>1.1.2.1.1</t>
  </si>
  <si>
    <t>казенные учреждения</t>
  </si>
  <si>
    <t>учреждений</t>
  </si>
  <si>
    <t>1.1.2.1.2</t>
  </si>
  <si>
    <t>предоставление субсидий государственным бюджетным и автономным учреждениям, в том числе:</t>
  </si>
  <si>
    <t>1.1.2.1.2.1</t>
  </si>
  <si>
    <t>на финансовое обеспечение выполнения ими государственного задания</t>
  </si>
  <si>
    <t>1.1.2.1.2.2</t>
  </si>
  <si>
    <t>на осуществление капитального ремонта</t>
  </si>
  <si>
    <t>1.1.2.1.2.3</t>
  </si>
  <si>
    <t xml:space="preserve"> транспортные средства </t>
  </si>
  <si>
    <t>1.1.3.6</t>
  </si>
  <si>
    <t>компьютерных мест</t>
  </si>
  <si>
    <t>1.1.3.7</t>
  </si>
  <si>
    <t>1.1.3.8</t>
  </si>
  <si>
    <t>1.1.3.9</t>
  </si>
  <si>
    <t xml:space="preserve">технические средства </t>
  </si>
  <si>
    <t>1.1.3.11</t>
  </si>
  <si>
    <t>процент</t>
  </si>
  <si>
    <t>3</t>
  </si>
  <si>
    <t xml:space="preserve"> Всего по подпрограмме "Совершенствование социальной поддержки семьи и детей" в том числе:</t>
  </si>
  <si>
    <t>1.1.1.3.1</t>
  </si>
  <si>
    <t>1.1.1.3.2</t>
  </si>
  <si>
    <t>предоставление субсидий государственным  бюджетным и автономным учреждениям, в том числе:</t>
  </si>
  <si>
    <t>1.1.1.3.2.1</t>
  </si>
  <si>
    <t>1.1.1.3.2.2</t>
  </si>
  <si>
    <t>1.1.1.3.2.3</t>
  </si>
  <si>
    <t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 превышает величины прожиточного минимума на душу населения, установленного в Краснодарском крае, по  заключению врача полноценным питанием посредством бесплатного предоставления специализированных продуктов детского питания  в соответствии с Законом Краснодарского края от 30 июня 1997 г. № 90-КЗ "Об охране здоровья населения Краснодарского края"</t>
  </si>
  <si>
    <t>1.1.2.6</t>
  </si>
  <si>
    <t>1.1.2.9</t>
  </si>
  <si>
    <t>1.1.2.10</t>
  </si>
  <si>
    <t>Выплата единовременного пособия при всех формах устройства детей, лишенных родительского попечения, в семью</t>
  </si>
  <si>
    <t>штук</t>
  </si>
  <si>
    <t>1.1.4.4</t>
  </si>
  <si>
    <t>1.1.4.5</t>
  </si>
  <si>
    <t>1.1.4.6</t>
  </si>
  <si>
    <t>1.1.4.7</t>
  </si>
  <si>
    <t>1.1.4.8</t>
  </si>
  <si>
    <t>1.1.5.1</t>
  </si>
  <si>
    <t>ОТЧЕТ</t>
  </si>
  <si>
    <t>о достижении целевых показателей государственной программы Краснодарского края</t>
  </si>
  <si>
    <t>Номер целевого показателя</t>
  </si>
  <si>
    <t>Наименование целевого показателя</t>
  </si>
  <si>
    <t>Единица измерения</t>
  </si>
  <si>
    <t>Причины недостижения фактического значения показателя в отчетном периоде</t>
  </si>
  <si>
    <t>текущий отчетный период</t>
  </si>
  <si>
    <t>факт</t>
  </si>
  <si>
    <t>план</t>
  </si>
  <si>
    <t>Государственная программа Краснодарского края  «Социальная поддержка граждан»</t>
  </si>
  <si>
    <t>1.1</t>
  </si>
  <si>
    <t>Число граждан, получивших документы на право пользования мерами социальной поддержки</t>
  </si>
  <si>
    <t>1.2</t>
  </si>
  <si>
    <t>Соотношение средней заработной платы социальных работников государственных учреждений со средней заработной платой в Краснодарском крае</t>
  </si>
  <si>
    <t>%</t>
  </si>
  <si>
    <t>Удельный вес детей-сирот и детей, оставшихся без попечения родителей, переданных на воспитание в семью (от общей численности вновь выявленных детей за отчетный период)</t>
  </si>
  <si>
    <t>1.4</t>
  </si>
  <si>
    <t>Доля государственных учреждений, предоставляющих информацию об энергосбережении и повышении энергетической эффективности (энергетические декларации) в электронном виде</t>
  </si>
  <si>
    <t>Доля государственных учреждений, оснащенных приборами учета тепловой энергии</t>
  </si>
  <si>
    <t>1.6</t>
  </si>
  <si>
    <t>Удельный вес учреждений социального обслуживания, основанный на иных формах собственности (кроме государственных учреждений), в общем количестве учреждений социального обслуживания всех форм собственности</t>
  </si>
  <si>
    <t>1.7</t>
  </si>
  <si>
    <t>Доля государственных бюджетных (автономных, казенных) учреждений социального обслуживания, подведомственных министерству труда и социального развития Краснодарского края, в отношении которых проведена независимая оценка качества оказания услуг, от общего их количества</t>
  </si>
  <si>
    <t>1.8</t>
  </si>
  <si>
    <t xml:space="preserve">Удельный расход электрической энергии на снабжение государственных учреждений
</t>
  </si>
  <si>
    <t xml:space="preserve">кВт-ч/кв. м
</t>
  </si>
  <si>
    <t>1.9</t>
  </si>
  <si>
    <t xml:space="preserve">Удельный расход тепловой энергии на снабжение государственных учреждений
</t>
  </si>
  <si>
    <t xml:space="preserve">Гкал/кв. м
</t>
  </si>
  <si>
    <t xml:space="preserve">  1.10
</t>
  </si>
  <si>
    <t xml:space="preserve">Удельный расход холодной воды на снабжение государственных учреждений
</t>
  </si>
  <si>
    <t xml:space="preserve">куб. м/кв. м
</t>
  </si>
  <si>
    <t xml:space="preserve"> 1.11
</t>
  </si>
  <si>
    <t xml:space="preserve">Доля светодиодных источников света в освещении зданий от общего количества источников света в зданиях
</t>
  </si>
  <si>
    <t xml:space="preserve">%
</t>
  </si>
  <si>
    <t>1.12</t>
  </si>
  <si>
    <t xml:space="preserve">Доля зданий, строений, сооружений, оснащенных индивидуальными тепловыми пунктами с автоматическим регулированием температуры теплоносителя, находящихся на праве оперативного управления или ином законном основании, от общего количества указанных зданий, строений, сооружений
</t>
  </si>
  <si>
    <t>1.13</t>
  </si>
  <si>
    <t xml:space="preserve">Удовлетворенность получателей социальных услуг в оказанных социальных услугах, процентов
</t>
  </si>
  <si>
    <t>1.14</t>
  </si>
  <si>
    <t xml:space="preserve">Доля населения с денежными доходами ниже величины прожиточного минимума в Краснодарском крае в общей численности населения Краснодарского края, процентов
</t>
  </si>
  <si>
    <t>2.1</t>
  </si>
  <si>
    <t>Подпрограмма   «Развитие мер социальной поддержки отдельных категорий граждан»</t>
  </si>
  <si>
    <t>2.1.3</t>
  </si>
  <si>
    <t xml:space="preserve">Доля граждан, получивших меры социальной поддержки, в общей численности граждан, имеющих право на их получение и обратившихся за их получением
</t>
  </si>
  <si>
    <t>2.2</t>
  </si>
  <si>
    <t>Подпрограмма  «Модернизация и развитие социального обслуживания населения»</t>
  </si>
  <si>
    <t>2.2.1</t>
  </si>
  <si>
    <t>Доля пожилых граждан и инвалидов, получивших социальные услуги в учреждениях социального обслуживания населения, в общем числе граждан, обратившихся за получением социальных услуг в учреждениях социального обслуживания</t>
  </si>
  <si>
    <t>2.2.2</t>
  </si>
  <si>
    <t>Количество граждан пожилого возраста и инвалидов, пользующихся услугами сиделок</t>
  </si>
  <si>
    <t>2.2.3</t>
  </si>
  <si>
    <t>Количество выданных технических средств реабилитации (ТСР)</t>
  </si>
  <si>
    <t>единиц</t>
  </si>
  <si>
    <t>2.2.4</t>
  </si>
  <si>
    <t>Количество граждан, прошедших обучение в школе по уходу</t>
  </si>
  <si>
    <t>2.3</t>
  </si>
  <si>
    <t>Подпрограмма «Совершенствование социальной поддержки семьи и детей»</t>
  </si>
  <si>
    <t>2.3.1</t>
  </si>
  <si>
    <t>Удельный вес несовершеннолетних, возвращенных в физиологическую семью и переданных на воспитание в замещающие семьи (от общего числа несовершеннолетних, выведенных из учреждения после прохождения курса социальной реабилитации в государственных казенных учреждениях социального обслуживания Краснодарского края - социально-реабилитационных центрах для несовершеннолетних, нуждающихся в социальной реабилитации)</t>
  </si>
  <si>
    <t>2.3.2</t>
  </si>
  <si>
    <t>Суммарный коэффициент рождаемости
(число детей на одну женщину)</t>
  </si>
  <si>
    <t>2.3.3</t>
  </si>
  <si>
    <t>Коэффициент рождаемости в Краснодарском крае возрастной группе 25-29 лет (число родившихся на 1000 женщин соответствующего возраста)</t>
  </si>
  <si>
    <t>2.3.4</t>
  </si>
  <si>
    <t>Коэффициент рождаемости в Краснодарском крае возрастной группе 30-34 лет (число родившихся на 1000 женщин соответствующего возраста)</t>
  </si>
  <si>
    <t xml:space="preserve">                                          </t>
  </si>
  <si>
    <t xml:space="preserve">  о выполнении плана реализации</t>
  </si>
  <si>
    <t xml:space="preserve">                                            </t>
  </si>
  <si>
    <t xml:space="preserve">              государственной программы Краснодарского края "Социальная поддержка граждан"</t>
  </si>
  <si>
    <t xml:space="preserve">                                                     </t>
  </si>
  <si>
    <t xml:space="preserve">Номер основного мероприятия, контрольного события, мероприятия </t>
  </si>
  <si>
    <t>Наименование подпрограммы, отдельного мероприятия, ведомственной целевой программы, контрольного события</t>
  </si>
  <si>
    <t xml:space="preserve">Статус </t>
  </si>
  <si>
    <t>Ответственный за реализацию мероприятия, выполнение контрольного события</t>
  </si>
  <si>
    <t>Плановый срок начала реализации мероприятия</t>
  </si>
  <si>
    <t xml:space="preserve">Плановый срок окончания реализации мероприятия, наступления контрольного события </t>
  </si>
  <si>
    <t xml:space="preserve">Фактический срок начала реализации мероприятия </t>
  </si>
  <si>
    <t xml:space="preserve">Фактический срок окончания реализации мероприятия              наступления контрольного события </t>
  </si>
  <si>
    <t>Поквартальное распределение прогноза кассовых выплат из краевого бюджета, тыс.рублей</t>
  </si>
  <si>
    <t xml:space="preserve">Причины несоблюдения планового срока реализации, неисполнения финансирования и меры по исполнению мероприятия или контрольного события </t>
  </si>
  <si>
    <t>I</t>
  </si>
  <si>
    <t>II</t>
  </si>
  <si>
    <t>III</t>
  </si>
  <si>
    <t>IV</t>
  </si>
  <si>
    <t xml:space="preserve">Основное мерориятие </t>
  </si>
  <si>
    <t>Подпрограмма № 1 "Развитие мер социальной поддержки отдельных категорий граждан"</t>
  </si>
  <si>
    <t>Социальная поддержка военнослужащих, родителей и вдов военнослужащих, лиц рядового и начальствующего состава органов внутренних дел и сотрудников органов федеральной службы безопасности</t>
  </si>
  <si>
    <t xml:space="preserve">Контрольное событие 1.2
Оказание мер социальной поддержки отдельным категориям граждан
</t>
  </si>
  <si>
    <t>Подпрограмма № 2 "Модернизация и развитие социального обслуживания населения"</t>
  </si>
  <si>
    <t>Финансовое обеспечение деятельности государственных учреждений,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</si>
  <si>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</t>
  </si>
  <si>
    <t>1.1.3.14</t>
  </si>
  <si>
    <t>3.</t>
  </si>
  <si>
    <t>Подпрограмма № 3 "Совершенствование социальной поддержки семьи и детей"</t>
  </si>
  <si>
    <t>Финансовое обеспечение деятельности государственных учреждений социального обслуживания и государственных учреждений, осуществляющих деятельность в сфере семейной политики и отдыха и оздоровления детей</t>
  </si>
  <si>
    <t>Финансовое обеспечение деятельности государственных учреждений социального обслуживания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в том числе:</t>
  </si>
  <si>
    <t>Ежегоная денежная выплата многодетным семьям</t>
  </si>
  <si>
    <t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</t>
  </si>
  <si>
    <t xml:space="preserve">Контрольное 
событие 3.1
Реализация мер социальной поддержки детей-сирот и детей, оставшихся без попечения родителей
</t>
  </si>
  <si>
    <t xml:space="preserve">Контрольное 
событие 3.2
Оказание мер социальной поддержки гражданам, имеющим детей 
</t>
  </si>
  <si>
    <t>Итого по государственной программе:</t>
  </si>
  <si>
    <t>О.Г. Лычагина</t>
  </si>
  <si>
    <t>2.3.5</t>
  </si>
  <si>
    <t>2.3.7</t>
  </si>
  <si>
    <t>2.3.6</t>
  </si>
  <si>
    <t>Суммарный коэффициент рождаемости вторых детей</t>
  </si>
  <si>
    <t>Суммарный коэффициент рождаемости третьих и последующих детей</t>
  </si>
  <si>
    <t>Коэффициент рождаемости в возрасте 35 - 39 лет</t>
  </si>
  <si>
    <t>1.1.11.1</t>
  </si>
  <si>
    <t>начало работ по реконструкции</t>
  </si>
  <si>
    <t>Заключено государственных и муниципальных контрактов на отчетную дату, тыс. рублей</t>
  </si>
  <si>
    <t>Причины неосовения средств по мероприятию</t>
  </si>
  <si>
    <t>Объем финансирования, предусмотренный государственной программой на текущий год, тыс. рублей</t>
  </si>
  <si>
    <t>в стадии реализации</t>
  </si>
  <si>
    <t>х</t>
  </si>
  <si>
    <t>1.1.9.1.1</t>
  </si>
  <si>
    <t>1.1.9.1.2</t>
  </si>
  <si>
    <t>1.1.10.2</t>
  </si>
  <si>
    <t>Значение целевого показателя на:</t>
  </si>
  <si>
    <t>Предшествую- щий отчетный год</t>
  </si>
  <si>
    <t>расчитывается Росстатом ежегодно, 1-я оценка (предварительная) -29 апреля; 2-я оценка (уточненная) - 15 августа;
3-я оценка - 29 декабря.</t>
  </si>
  <si>
    <t>едениц</t>
  </si>
  <si>
    <t>2.3.8</t>
  </si>
  <si>
    <t>Доля детей в возрасте от трех до семи лет включительно, в отношении которых произведена ежемесячная денежная выплата, в общей численности детей этого возраста</t>
  </si>
  <si>
    <t>Начальник отдела координации национальных проектов и государственных программ</t>
  </si>
  <si>
    <t>Тришкин Данил Олегович</t>
  </si>
  <si>
    <t xml:space="preserve"> +7 (861) 259-22-97</t>
  </si>
  <si>
    <t>1.1.2.12</t>
  </si>
  <si>
    <t>-</t>
  </si>
  <si>
    <t>Выполнение мероприятия запланировано в 3 квартале                                         2021 г.</t>
  </si>
  <si>
    <t>Выполнение мероприятия запланировано в 4 квартале                                         2021 г.</t>
  </si>
  <si>
    <t>босенко</t>
  </si>
  <si>
    <t>41</t>
  </si>
  <si>
    <t xml:space="preserve">31.12.2021
</t>
  </si>
  <si>
    <t>достижение показателя запланировано на конец 2021 года</t>
  </si>
  <si>
    <t>2.1.4</t>
  </si>
  <si>
    <t>2.1.5</t>
  </si>
  <si>
    <t>1.1.10</t>
  </si>
  <si>
    <t>Обеспечение жильем отдельных категорий граж-дан</t>
  </si>
  <si>
    <t xml:space="preserve">1.1.11 </t>
  </si>
  <si>
    <t>Улучшение жилищных условий граждан</t>
  </si>
  <si>
    <t xml:space="preserve">Контрольное 
событие 1.1 
Оформление документов на право пользование мерами социальной поддержки отдельным категориям граждан, по вопросам от-несенным к компетенции органов государственной власти Краснодарского края
</t>
  </si>
  <si>
    <t>управления социальной за-щиты населения Красно-дарского края</t>
  </si>
  <si>
    <t>1.1.2</t>
  </si>
  <si>
    <t>Материально-техническое и финансовое обеспечение деятельности государ-ственных учреждений, подве-домственных министерству труда и социального развития Краснодарского края</t>
  </si>
  <si>
    <t>1.1.3</t>
  </si>
  <si>
    <t xml:space="preserve">Обеспечение потребностей граждан пожилых воз-растов, инвалидов, включая детей-инвалидов, в 
социальном 
обслуживании
</t>
  </si>
  <si>
    <t>Компенсация, выплачиваемая поставщикам социальных услуг (оказываемых гражданам старших возрастов, инвалидам, вклю-чая детей-инвалидов), включенным в реестр поставщиков социальных услуг и не участвующим в выполнении госу-дарственного задания (заказа)</t>
  </si>
  <si>
    <t xml:space="preserve">Контрольное событие 2.1
Рост соотношения средней заработной платы соци-альных работников государ-ственных учреждений, функции и полномочия учредителя в отношении которых осуществляет и социального развития Краснодарского края со средней заработной платой в Краснодарском края
</t>
  </si>
  <si>
    <t xml:space="preserve">Контрольное событие 2.2
Развитие материально-технической базы учреждений,обслуживающих пожилых людей и инвалидов в раз-личных условиях социальной сферы
</t>
  </si>
  <si>
    <t xml:space="preserve">Контрольное 
событие 2.3
Работа мобильных бригад в государственных и автономных учреждениях Краснодарского края, предоставляющих социаль-ные услуги на мобильной основе, для оказания неотложных социальных услуг пожилым людям и (или) инвалидам организована во всех сельских муниципальных образованиях края
</t>
  </si>
  <si>
    <t>Обеспечение мер государственной поддержки в связи с беременностью и родами, а также гражданам, имеющим детей</t>
  </si>
  <si>
    <t xml:space="preserve">Единовременные и ежегодные денежные выплаты семьям с детьми
</t>
  </si>
  <si>
    <t>Финансовое обеспечение осу-ществления переданных органам местного само-управления отдельных государственных полно-мочий, направленных на социальную поддержку граждан</t>
  </si>
  <si>
    <t>1.1.5</t>
  </si>
  <si>
    <t>Мероприятия по профилактике безнадзорности и правонарушений несовершеннолетних</t>
  </si>
  <si>
    <t>1.1.6</t>
  </si>
  <si>
    <t xml:space="preserve">Компенсация,
выплачиваемая
поставщикам
социальных услуг (оказываемых детям с ограниченными возможно-стями здоровья, а также детям, находящимся в социально опасном положении, в трудной жизненной ситуации), включенным в реестр поставщиков социальных услуг и не участвующим в выполнении государственного задания (заказа)
</t>
  </si>
  <si>
    <t xml:space="preserve">01.04.2021 
</t>
  </si>
  <si>
    <t xml:space="preserve">начальник планово-финансового отдела 
Зенкин Р.С.,
начальник 
отдела по
вопросам 
капитального 
ремонта и строительства Ярошенко Н.Н.
</t>
  </si>
  <si>
    <t>департамент строительства Краснодарского края</t>
  </si>
  <si>
    <t>выполнение мероприятия предусмотрено в 1-4 кв.                  2021 г.</t>
  </si>
  <si>
    <t>выполнение мероприятия предусмотрено в 2-4 кв.                  2021 г.</t>
  </si>
  <si>
    <t>Выполнение мероприятия запланировано в 3-4 кв.                                    2021 г.</t>
  </si>
  <si>
    <t>Выполнение мероприятия запланировано в 1-4 кв.                                         2021 г.</t>
  </si>
  <si>
    <t>Выполнение мероприятия запланировано в 2-3 кв.                                         2021 г.</t>
  </si>
  <si>
    <t xml:space="preserve">* Количество граждан состоящих на учете в УСЗН </t>
  </si>
  <si>
    <t xml:space="preserve">ежегодно, до 1 февраля года, следующего за отчетным (по состоянию на 1 января)
</t>
  </si>
  <si>
    <t xml:space="preserve">Доля малоимущих граждан, получивших государственную социальную помощь на основании социального контракта, в общей численности малоимущих граждан, получивших государственную социальную помощь
</t>
  </si>
  <si>
    <t xml:space="preserve">Доля граждан, преодолевших трудную жизненную ситуацию, в общей численности получателей государственной социальной помощи на основании социального контракта
</t>
  </si>
  <si>
    <t xml:space="preserve">Предоставление субсидии государственным бюджетным учреждениям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на осуществление капитальных вложений в объекты капитального строительства государственной собственности Краснодарского кра
</t>
  </si>
  <si>
    <t xml:space="preserve">Бюджетные инвестиции капитального строительства государственной собственности Краснодарского края в целях реализации инвестиционных проектов социальной инфраструктуры </t>
  </si>
  <si>
    <t xml:space="preserve">разработка проектной документации и проведение инженерных изысканий
</t>
  </si>
  <si>
    <t>1шт.</t>
  </si>
  <si>
    <t xml:space="preserve">Пенсии за выслугу лет лицам, замещавшим должности государственной гражданской службы Краснодарского края
</t>
  </si>
  <si>
    <t xml:space="preserve">Пособия отдельным категориям работников Краснодарского края в соответствии с Законом Краснодарского края от 21 июля 2005 г. N 921-КЗ "О государственной поддержке отдельных категорий работников Краснодарского края"
</t>
  </si>
  <si>
    <t xml:space="preserve">Дополнительное материальное обеспечение лиц, замещавших государственные должности Краснодарского края
</t>
  </si>
  <si>
    <t xml:space="preserve">Предоставление ежегодной денежной выплаты лицам, подвергшимся радиационным воздействиям, и их семьям в соответствии с Законом Краснодарского края от 27 марта 2007 г. N 1209-КЗ "О ежегодной денежной выплате отдельным категориям граждан, подвергшихся радиационным воздействиям, и их семьям
</t>
  </si>
  <si>
    <t xml:space="preserve"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подпунктами 1.1.2.2 и 1.1.3.3 настоящего раздела)
</t>
  </si>
  <si>
    <t xml:space="preserve">Предоставление гражданам государственных единовременных пособий и ежемесячных денежных компенсаций при возникновении поствакцинальных осложнений
</t>
  </si>
  <si>
    <t xml:space="preserve"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- жителям Краснодарского края (за исключением мер социальной поддержки, предусмотренных подпунктом 1.1.2.1 настоящего пункта)
</t>
  </si>
  <si>
    <t xml:space="preserve">Предоставление субсидий на оплату жилого помещения и коммунальных услуг гражданам, расходы которых на оплату жилого помещения и коммунальных услуг превышают региональный стандарт максимально допустимой доли таких расходов, установленный в размере 22 процентов от совокупного дохода семьи
</t>
  </si>
  <si>
    <t xml:space="preserve">Предоставление мер социальной поддержки по оплате жилищно-коммунальных услуг отдельным категориям граждан в соответствии с Федеральным законом от 24 ноября 1995 г. N 181-ФЗ "О социальной защите инвалидов в Российской Федерации"; Законами Российской Федерации от 12 января 1995 г. N 5-ФЗ "О ветеранах"; от 15 мая 1991 г. N 1244-1 "О социальной защите граждан, подвергшихся воздействию радиации вследствие катастрофы на Чернобыльской АЭС"
</t>
  </si>
  <si>
    <t xml:space="preserve">Предоставление мер социальной поддержки отдельным категориям граждан, проживающим на территории Краснодарского края, по оплате взносов на капитальный ремонт общего имущества собственников помещений в многоквартирном доме в соответствии с Законом Краснодарского края от 28 декабря 2015 г. N 3316-КЗ "О мерах социальной поддержки отдельных категорий граждан, проживающих на территории Краснодарского края, по оплате взносов на капитальный ремонт общего имущества собственников помещений в многоквартирном доме"
</t>
  </si>
  <si>
    <t xml:space="preserve">Компенсация расходов на оплату жилого помещения и коммунальных услуг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постоянно проживающим на территории Краснодарского края (за исключением мер социальной поддержки, предусмотренных подпунктом 1.1.3.1 настоящего пункта)
</t>
  </si>
  <si>
    <t xml:space="preserve">Выплата компенсации гражданам в случае, если фактическое увеличение размера платы за коммунальные услуги, вносимой гражданином, потребляющим коммунальные услуги при использовании жилого помещения и (или) жилого дома, превышает размер установленного для соответствующего муниципального образования Краснодарского края предельного (максимального) индекса изменения размера вносимой гражданами платы за коммунальные услуги
</t>
  </si>
  <si>
    <t xml:space="preserve">Выплата ежемесячного пособия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от 5 ноября 2002 г. N 537-КЗ "О ежемесячном пособии вдовам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
</t>
  </si>
  <si>
    <t xml:space="preserve">Предоставление ежемесячного пособия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обязанностей), в соответствии с Законом Краснодарского края от 7 июня 2004 г. N 719-КЗ "О ежемесячном пособии родителям военнослужащих, лиц рядового и начальствующего состава органов внутренних дел и сотрудников органов Федеральной службы безопасности, погибших при исполнении обязанностей военной службы (служебных обязанностей)"
</t>
  </si>
  <si>
    <t xml:space="preserve">Социальная поддержка инвалидов боевых действий и членов семей военнослужащих, погибших при исполнении воинского долга
</t>
  </si>
  <si>
    <t xml:space="preserve">Предоставление денежной компенсации за бензин, ремонт, техническое обслуживание транспортных средств и запасные части к ним некоторым категориям инвалидов из числа ветеранов в соответствии с Законом Краснодарского края от 29 апреля 2008 г. N 1457-КЗ "О компенсации расходов, связанных с эксплуатацией транспортных средств, некоторым категориям жителей Краснодарского края"
</t>
  </si>
  <si>
    <t xml:space="preserve">Предоставление инвалидам (в том числе детям-инвалидам), имеющим транспортные средства в соответствии с медицинскими показаниями, или их законным представителям компенсации страховых премий по договору обязательного страхования гражданской ответственности владельцев транспортных средств в соответствии с Федеральным законом от 25 апреля 2002 г. N 40-ФЗ "Об обязательном страховании гражданской ответственности владельцев транспортных средств"
</t>
  </si>
  <si>
    <t xml:space="preserve">Выплата гражданам пожилого возраста (достигшим возраста 60 и 55 лет (соответственно мужчины и женщины) либо возраста, дающего право на страховую пенсию по старости в соответствии с частью 1 статьи 8 Федерального закона от 28 декабря 2013 г. N 400-ФЗ "О страховых пенсиях") и одиноким гражданам, страдающим хроническими заболеваниями, неспособным удовлетворять свои основные жизненные потребности, получающим медико-социальную помощь на дому, в государственных медицинских организациях, в организациях социального обслуживания, у граждан, осуществляющих без образования юридического лица предпринимательскую деятельность в сфере социального обслуживания, в целях льготного обеспечения протезами, ортопедическими корригирующими изделиями, слуховыми аппаратами (за исключением мер социальной поддержки, предусмотренных подпунктом 1.1.5.3 настоящего пункта)
</t>
  </si>
  <si>
    <t xml:space="preserve">Предоставление лицу, взявшему на себя обязательства осуществить погребение, социального пособия на погребение в Краснодарском крае, единовременной материальной помощи гражданам, понесшим расходы, связанные с погребением малоимущих
</t>
  </si>
  <si>
    <t xml:space="preserve">Возмещение лицу, взявшему на себя обязательства осуществлять погребение, затрат, связанных с погребением умерших реабилитированных лиц
</t>
  </si>
  <si>
    <t xml:space="preserve">Предоставление единовременной денежной выплаты лицам, награжденным орденом "За выдающийся вклад в развитие кубанского казачества"
</t>
  </si>
  <si>
    <t xml:space="preserve">Предоставление ежегодной денежной выплаты лицам, награжденным нагрудными знаками "Почетный донор России", "Почетный донор СССР" в соответствии с Федеральным законом от 20 июля 2012 г. N 125-ФЗ "О донорстве крови и ее компонентов"
</t>
  </si>
  <si>
    <t xml:space="preserve">Предоставление ежемесячной денежной выплаты гражданам, удостоенным званий Героев Кубани и Героев труда Кубани, и единовременных денежных выплат в соответствии с частями 1 и 3 статьи 6 и статьей 7 Закона Краснодарского края от 5 мая 2006 г. N 1026-КЗ "О статусе Героев Кубани и Героев труда Кубани"
</t>
  </si>
  <si>
    <t xml:space="preserve">Предоставление субсидий юридическим лицам, индивидуальным предпринимателям (за исключением государственных (муниципальных) учреждений) в целях возмещения недополученных доходов в связи с оказанием услуг (выполнением работ) гражданам, проживающим на территории Краснодарского края, имеющим право на льготы, указанные в частях 1 - 3 статьи 4, части 2 статьи 6 Закона Краснодарского края от 5 мая 2006 г. N 1026-КЗ "О статусе Героев Кубани и Героев труда Кубани
</t>
  </si>
  <si>
    <t xml:space="preserve">Ежемесячная выплата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 в соответствии с Законом Краснодарского края от 30 апреля 2019 г. N 4015-КЗ "О ежемесячной выплате Героям Советского Союза, Героям Российской Федерации, полным кавалерам ордена Славы, вдовам (вдовцам) Героев Советского Союза, Героев Российской Федерации и полных кавалеров ордена Славы"
</t>
  </si>
  <si>
    <t xml:space="preserve">Предоставление дополнительной меры социальной поддержки по оплате проезда на автомобильном транспорте общего пользования в междугородном сообщении и поездах дальнего следования к месту реабилитации (туда и обратно) инвалидам по зрению и лицам, сопровождающим инвалидов по зрению 1 группы, при их сопровождении к месту реабилитации (туда и обратно) и от места реабилитации (туда и обратно)
</t>
  </si>
  <si>
    <t xml:space="preserve">Предоставление пособий на оплату проезда лицам, нуждающимся в проведении гемодиализа, в соответствии с Законом Краснодарского края от 6 февраля 2008 г. N 1388-КЗ "О выплате пособий на оплату проезда лицам, нуждающимся в проведении гемодиализа"
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</si>
  <si>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недополученных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маршрутах регулярных перевозок в городском, пригородном, междугородном сообщениях, межмуниципальных маршрутах регулярных перевозок в пригородном сообщении, а также на смежных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1.1.8.1 настоящего пункта)
</t>
  </si>
  <si>
    <t xml:space="preserve">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1.1.8.4 настоящего пункта)
</t>
  </si>
  <si>
    <t xml:space="preserve">Оказание государственной социальной помощи малоимущим семьям, малоимущим одиноко проживающим гражданам (за исключением мероприятий, предусмотренных подпунктом 1.1.9.1.2)
</t>
  </si>
  <si>
    <t xml:space="preserve">Оказание государственной социальной помощи на основании социального контракта малоимущим семьям, малоимущим одиноко проживающим гражданам
</t>
  </si>
  <si>
    <t xml:space="preserve">Предоставление мер социальной поддержки по обеспечению жильем отдельных категорий граждан, установленных Федеральным законом от 12 января 1995 г. N 5-ФЗ "О ветеранах" (пунктом 2 части 3 статьи 23(2)), в соответствии с Указом Президента Российской Федерации от 7 мая 2008 г. N 714 "Об обеспечении жильем ветеранов Великой Отечественной войны 1941 - 1945 годов"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</si>
  <si>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N 5-ФЗ "О ветеранах" (пунктом 3 части 3 статьи 23.2)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</si>
  <si>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N 181-ФЗ "О социальной защите инвалидов в Российской Федерации" (статья 28.2) (за исключением мер социальной поддержки, предусмотренных подпунктом 1.1.10.1 настоящего пункта)
</t>
  </si>
  <si>
    <t xml:space="preserve">Предоставление дополнительной меры социальной поддержки по улучшению жилищных условий (ремонт, повышение уровня благоустройства жилых помещений) граждан, имеющих право на меры социальной поддержки в соответствии со статьями 14, 15, а также статьей 21 (в части предоставления мер социальной поддержки членам семьи погибших (умерших) инвалидов и участников Великой Отечественной войны) Федерального закона "О ветеранах"
</t>
  </si>
  <si>
    <t xml:space="preserve">Организация профессионального образования и дополнительного профессионального образования работников государственных учреждений Краснодарского края, в том числе:
</t>
  </si>
  <si>
    <t xml:space="preserve">на предоставление мер социальной поддержки работников организаций социального обслуживания в соответствии с пунктом 5 части 2 статьи 10 Закона Краснодарского края от 5 ноября 2014 г. N 3051-КЗ "О социальном обслуживании населения на территории Краснодарского края"
</t>
  </si>
  <si>
    <t xml:space="preserve">Предоставление субсидий на оснащение государственных бюджетных и автономных учреждений Краснодарского края оборудованием, облегчающим уход за гражданами пожилого возраста и инвалидами, повышающим качество социальных услуг, в том числе: мебелью, оборудованием для психологической поддержки, медицинским, компьютерным, технологическим, бытовым, пищевым, прачечным, реабилитационным оборудованием (приобретение, монтаж, пусконаладочные работы)
</t>
  </si>
  <si>
    <t xml:space="preserve">Предоставление субсидий на организацию работы мобильных бригад в государственных бюджетных и автономных учреждениях Краснодарского края, предоставляющих социальные услуги на мобильной основе, для оказания неотложных социальных услуг пожилым людям и (или) инвалидам, в том числе на приобретение транспортных средств и оборудования
</t>
  </si>
  <si>
    <t xml:space="preserve">Предоставление субсидий государственным бюджетным и автономным учреждениям на организацию для граждан пожилого возраста и (или) инвалидов обучения в компьютерных классах и клубах на базе государственных бюджетных и автономных учреждений Краснодарского края
</t>
  </si>
  <si>
    <t xml:space="preserve">Предоставление субсидий государственным бюджетным и автономным учреждениям на организацию социального туризма для граждан пожилого возраста и (или) инвалидов: проведение экскурсий, посещение памятных мест, учреждений культуры, исторических памятников
</t>
  </si>
  <si>
    <t xml:space="preserve">Предоставление субсидий государственным бюджетным и автономным учреждениям на организацию приемной семьи для граждан пожилого возраста и инвалидов
</t>
  </si>
  <si>
    <t xml:space="preserve">Предоставление субсидий государственным бюджетным и автономным учреждениям для обеспечения граждан современными средствами и предметами ухода за пожилыми людьми на условиях временного пользования через государственные бюджетные и автономные учреждения социального обслуживания Краснодарского края, подведомственные министерству труда и социального развития Краснодарского края
</t>
  </si>
  <si>
    <t xml:space="preserve">Выплата компенсаций в виде субсидий за предоставление социальных услуг (оказываемых гражданам старших возрастов, инвалидам, включая детей-инвалидов) поставщикам социальных услуг, включенным в реестр поставщиков социальных услуг и не участвующим в выполнении государственного задания (заказа)
</t>
  </si>
  <si>
    <t xml:space="preserve">Финансовое обеспечение деятельности государственных учреждений для детей-сирот и детей, оставшихся без попечения родителей, функции и полномочия учредителя в отношении которых осуществляет министерство труда и социального развития Краснодарского края, в том числе:
</t>
  </si>
  <si>
    <t xml:space="preserve">Финансовое обеспечение деятельности государственных учреждений для детей-сирот и детей, оставшихся без попечения родителей, и государственных учреждений, осуществляющих деятельность в сфере отдыха и оздоровления детей, функции и полномочия учредителя в отношении которых осуществляет министерство труда и социального развития Краснодарского края (за исключением финансового обеспечения деятельности государственных учреждений, предусмотренных подпунктом 1.1.1.1 настоящего пункта), в том числе:
</t>
  </si>
  <si>
    <t xml:space="preserve">на предоставление компенсации расходов педагогическим работникам государственных организаций, осуществляющих образовательную деятельность, проживающим и работающим в сельских населенных пунктах, рабочих поселках (поселках городского типа) на территории Краснодарского края, за счет краевого бюджета на оплату жилых помещений, отопления и освещения в соответствии с Законом Краснодарского края от 16 июля 2013 г. N 2770-КЗ "Об образовании в Краснодарском крае"
</t>
  </si>
  <si>
    <t xml:space="preserve">Выплата пособия на ребенка в соответствии с Законом Краснодарского края от 15 декабря 2004 г. N 807-КЗ "О пособии на ребенка"
</t>
  </si>
  <si>
    <t xml:space="preserve"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от 30 июня 1997 г. N 90-КЗ "Об охране здоровья населения Краснодарского края"
</t>
  </si>
  <si>
    <t xml:space="preserve">Выплата единовременного пособия беременной жене военнослужащего, проходящего военную службу по призыву, и ежемесячного пособия на ребенка военнослужащего, проходящего военную службу по призыву, в соответствии с Федеральным законом от 19 мая 1995 г. N 81-ФЗ "О государственных пособиях гражданам, имеющим детей"
</t>
  </si>
  <si>
    <t xml:space="preserve"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г. N 81-ФЗ "О государственных пособиях гражданам, имеющим детей"
</t>
  </si>
  <si>
    <t xml:space="preserve">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с 1 января 2013 г. по 31 декабря 2018 г., до достижения ими возраста трех лет в соответствии с Законом Краснодарского края от 1 августа 2012 г. N 2568-КЗ "О дополнительных мерах социальной поддержки отдельных категорий граждан" и ежемесячная денежная выплата одному из родителей, являющемуся гражданином Российской Федерации, на третьего ребенка или последующих детей, родившихся в период с 1 января 2019 г. по 31 декабря 2021 г., до достижения ими возраста трех лет в соответствии с Законом Краснодарского края от 21 декабря 2018 г. N 3950-КЗ "О ежемесячной денежной выплате нуждающимся в поддержке семьям при рождении третьего ребенка или последующих детей" в рамках регионального проекта Краснодарского края "Финансовая поддержка семей при рождении детей"
</t>
  </si>
  <si>
    <t xml:space="preserve">Осуществление ежемесячной выплаты в связи с рождением (усыновлением) первого ребенка в соответствии с Федеральным законом от 28 декабря 2017 г. N 418-ФЗ "О ежемесячных выплатах семьям, имеющим детей" в рамках регионального проекта Краснодарского края "Финансовая поддержка семей при рождении детей"
</t>
  </si>
  <si>
    <t xml:space="preserve">Ежемесячная денежная выплата на ребенка в возрасте от трех до семи лет включительно
</t>
  </si>
  <si>
    <t xml:space="preserve">Выплата единовременного денежного поощрения награжденным медалью Краснодарского края "Родительская доблесть"
</t>
  </si>
  <si>
    <t xml:space="preserve">Выплата единовременного денежного пособия при усыновлении (удочерении) на территории Краснодарского края ребенка-сироты или ребенка, оставшегося без попечения родителей
</t>
  </si>
  <si>
    <t xml:space="preserve">Ежегодная денежная выплата многодетным семьям
</t>
  </si>
  <si>
    <t xml:space="preserve">Предоставление меры социальной поддержки в виде материнского (семейного) капитала в рамках регионального проекта Краснодарского края "Финансовая поддержка семей при рождении детей"
</t>
  </si>
  <si>
    <t xml:space="preserve">Изготовление бланков удостоверения многодетной семьи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</si>
  <si>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семью,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</si>
  <si>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детей,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
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</si>
  <si>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
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</si>
  <si>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 на 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
 </t>
  </si>
  <si>
    <t xml:space="preserve">Предоставление субвенций местным бюджетам муниципальных образований Краснодарского края в соответствии с Законом Краснодарского края от 29 декабря 2007 г. N 1372-КЗ "О наделении органов местного самоуправления в Краснодарском крае государственными полномочиями Краснодарского края по организации и осуществлению деятельности по опеке и попечительству в отношении несовершеннолетних" для финансового обеспечения осуществления отдельных государственных полномочий по организации и осуществлению деятельности по опеке и попечительству в отношении несовершеннолетних, за исключением полномочий по формированию и ведению регионального банка данных о детях, оставшихся без попечения родителей, полномочий по психолого-педагогической и правовой подготовке граждан, выразивших желание принять на воспитание в свою семью ребенка, оставшегося без попечения родителей
</t>
  </si>
  <si>
    <t xml:space="preserve"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от 3 марта 2010 г. N 1909-КЗ "О наделении органов местного самоуправления в Краснодарском крае государственными полномочиями Краснодарского края по организации оздоровления и отдыха детей"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</si>
  <si>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созданию и организации деятельности комиссий по делам несовершеннолетних и защите их прав в соответствии с Законом Краснодарского края от 13 ноября 2006 г. N 1132-КЗ "О комиссиях по делам несовершеннолетних и защите их прав в Краснодарском крае"
</t>
  </si>
  <si>
    <t xml:space="preserve">Осуществление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организаций, в соответствии с пунктом 3 статьи 25 Федерального закона от 24 июня 1999 г. N 120-ФЗ "Об основах системы профилактики безнадзорности и правонарушений несовершеннолетних"
</t>
  </si>
  <si>
    <t xml:space="preserve">Выплата компенсаций в виде субсидий за предоставление социальных услуг (оказываемых детям с ограниченными возможностями здоровья, а также детям, находящимся в социально опасном положении, в трудной жизненной ситуации) поставщикам социальных услуг, включенным в реестр поставщиков социальных услуг и не участвующим в выполнении государственного задания (заказа) (за исключением выплаты компенсаций в виде субсидий, предусмотренных подпунктом 1.1.6.1 настоящего пункта)
</t>
  </si>
  <si>
    <t xml:space="preserve">Предоставление субсидии государственным бюджетным учреждениям Краснодарского края, функции и полномочия учредителя в отношении которых осуществляет министерство труда и социального развития Краснодарского края, на осуществление капитальных вложений в объекты капитального строительства государственной собственности Краснодарского края
</t>
  </si>
  <si>
    <t xml:space="preserve">Бюджетные инвестиции капитального строительства государственной собственности Краснодарского края в целях реализации инвестиционных проектов социальной инфраструктуры
</t>
  </si>
  <si>
    <t xml:space="preserve">Начальник отдела координации национальных                                                                 проектов и государственных программ                                                     </t>
  </si>
  <si>
    <t xml:space="preserve">Краснодарском крае государственными полномочиями Краснодарского края по организации оздоровления и отдыха детей"
</t>
  </si>
  <si>
    <t xml:space="preserve">Предоставление субвенций местным бюджетам муниципальных образований Краснодарского края для финансового обеспечения осуществления отдельных государственных полномочий по организации оздоровления и отдыха детей, переданных в соответствии с Законом Краснодарского края от 3 марта 2010 г. N 1909-КЗ "О наделении органов местного самоуправления в </t>
  </si>
  <si>
    <t xml:space="preserve">по воспитанию приемных детей, в соответствии с Законом Краснодарского края от 15 декабря 2004 г. N 805-КЗ "О наделении органов местного самоуправления муниципальных образований Краснодарского края отдельными государственными полномочиями в области социальной сферы"
</t>
  </si>
  <si>
    <t xml:space="preserve">Предоставление субвенций местным бюджетам муниципальных образований Краснодарского края на осуществление отдельных государственных полномочий по выплате ежемесячного вознаграждения, причитающегося приемным родителям за оказание услуг </t>
  </si>
  <si>
    <t>Предоставление меры социальной поддержки в виде материнского (семейного) капитала в рамках регионального проекта Краснодарского края "Финансовая поддержка семей при рождении детей"
"</t>
  </si>
  <si>
    <t>Предоставление денежной компенсации на полноценное питание беременным женщинам, кормящим матерям, а также детям в возрасте до трех лет, за исключением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превышает величины прожиточного минимума на душу населения, установленного в Краснодарском крае в соответствии с Законом Краснодарского края от 30 июня 1997 г. N 90-КЗ "Об охране здоровья населения Краснодарского края"</t>
  </si>
  <si>
    <t>заключению врача полноценным питанием посредством бесплатного предоставления специализированных продуктов детского питания  в соответствии с Законом Краснодарского края от 30 июня 1997 г. № 90-КЗ "Об охране здоровья населения Краснодарского края"</t>
  </si>
  <si>
    <t xml:space="preserve">Предоставление субсидий государственным автономным учреждениям на обеспечение детей первых шести месяцев жизни, родившихся не ранее 1 августа 2014 г. и находящихся на смешанном или искусственном вскармливании, из семей со среднедушевым доходом, размер которого не  превышает величины прожиточного минимума на душу населения, установленного в Краснодарском крае, по  </t>
  </si>
  <si>
    <t xml:space="preserve">Предоставление дополнительной меры социальной поддержки по улучшению жилищных условий (ремонт, повышение уровня благоустройства жилых помещений) граждан, имеющих право на меры социальной поддержки в соответствии со статьями 14, 15, а также статьей 21 (в части предоставления мер социальной поддержки членам семьи погибших (умерших) инвалидов и участников Великой Отечественной войны) Федерального закона "О ветеранах"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</si>
  <si>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24 ноября 1995 г. N 181-ФЗ "О социальной защите инвалидов в Российской Федерации" (статья 28.2) (за исключением мер социальной поддержки, предусмотренных подпунктом 1.1.10.1 настоящего пункта)
</t>
  </si>
  <si>
    <t xml:space="preserve">Предоставление мер социальной поддержки по обеспечению жильем за счет средств федерального бюджета отдельных категорий граждан, установленных Федеральным законом от 12 января 1995 г. N 5-ФЗ "О ветеранах" (пунктом 3 части 3 статьи 23.2) (за исключением мер социальной поддержки, предусмотренных подпунктом 1.1.10.1 настоящего пункта)
</t>
  </si>
  <si>
    <t>Обеспечение изготовления талонов и проездных документов в целях реализации дополнительных мер социальной поддержки по оплате проезда отдельных категорий жителей Краснодарского края, установленных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1.1.8.4 настоящего пункта)</t>
  </si>
  <si>
    <t>медицинских организациях, в организациях социального обслуживания, у граждан, осуществляющих без образования юридического лица предпринимательскую деятельность в сфере социального обслуживания, в целях льготного обеспечения протезами, ортопедическими корригирующими изделиями, слуховыми аппаратами (за исключением мер социальной поддержки, предусмотренных подпунктом 1.1.5.3 настоящего пункта)</t>
  </si>
  <si>
    <t>Выплата гражданам пожилого возраста (достигшим возраста 60 и 55 лет (соответственно мужчины и женщины) либо возраста, дающего право на страховую пенсию по старости в соответствии с частью 1 статьи 8 Федерального закона от 28 декабря 2013 г. N 400-ФЗ "О страховых пенсиях") и одиноким гражданам, страдающим хроническими заболеваниями, неспособным удовлетворять свои основные жизненные потребности, получающим медико-социальную помощь на дому, в государственных медицинских организациях, в организациях социального обслуживания, у граждан, осуществляющих без образования юридического лица предпринимательскую деятельность в сфере социального обслуживания, в целях льготного обеспечения протезами, ортопедическими корригирующими изделиями, слуховыми аппаратами (за исключением мер социальной поддержки, предусмотренных подпунктом 1.1.5.3 настоящего пункта)</t>
  </si>
  <si>
    <t xml:space="preserve">Выплаты компенсации гражданам в случае, если Выплата компенсации гражданам в случае, если фактическое увеличение размера платы за коммунальные услуги, вносимой гражданином, потребляющим коммунальные услуги при использовании жилого помещения и (или) жилого дома, превышает размер установленного для соответствующего муниципального образования Краснодарского края предельного (максимального) индекса изменения размера вносимой гражданами платы за коммунальные услуги
</t>
  </si>
  <si>
    <t>Предоставление мер социальной поддержки по оплате жилищно-коммунальных услуг отдельным категориям граждан в соответствии с Федеральным законом от 24 ноября 1995 г. N 181-ФЗ "О социальной защите инвалидов в Российской Федерации"; Законами Российской Федерации от 12 января 1995 г. N 5-ФЗ "О ветеранах"; от 15 мая 1991 г. N 1244-1 "О социальной защите граждан, подвергшихся воздействию радиации вследствие катастрофы на Чернобыльской АЭС"</t>
  </si>
  <si>
    <t xml:space="preserve">Ежемесячные денежные выплаты ветеранам труда и ветеранам военной службы, достигшим возраста 60 и 55 лет (соответственно мужчины и женщины), либо после назначения им пенсии в территориальных органах Пенсионного фонда Российской Федерации, жертвам политических репрессий, достигшим возраста 60 и 55 лет (соответственно мужчины и женщины), либо являющимся пенсионерами, труженикам тыла, - жителям Краснодарского края (за исключением мер социальной поддержки, предусмотренных подпунктом 1.1.2.1 настоящего пункта)
</t>
  </si>
  <si>
    <t>Предоставление отдельных мер социальной поддержки граждан, подвергшихся воздействию радиации (за исключением мер социальной поддержки, предусмотренных подпунктами 1.1.2.2 и 1.1.3.3 настоящего раздела))</t>
  </si>
  <si>
    <t>Пособия отдельным категориям работников Краснодарского края в соответствии с Законом Краснодарского края от 21 июля 2005 г. N 921-КЗ "О государственной поддержке отдельных категорий работников Краснодарского края"</t>
  </si>
  <si>
    <t>Финансовое обеспечение деятельности министерства труда и социального развития Краснодарского края и управлений социальной защиты населения в муниципальных образованиях Краснодарского края</t>
  </si>
  <si>
    <t>1441</t>
  </si>
  <si>
    <t>Освоение за 3 месяца</t>
  </si>
  <si>
    <t>Освоение за 6 месяцев</t>
  </si>
  <si>
    <t>1.1.6.3</t>
  </si>
  <si>
    <t>1.1.6.4</t>
  </si>
  <si>
    <t xml:space="preserve">Предоставление социального пособия на погребение в Краснодарском крае лицу, взявшему на себя обязательства осуществить погребение (за исключением мер социальной поддержки, предусмотренных подпунктом 1.1.6.1 настоящего пункта)
</t>
  </si>
  <si>
    <t xml:space="preserve">Предоставление единовременной материальной помощи гражданам, понесшим расходы, связанные с погребением малоимущих (за исключением мер социальной поддержки, предусмотренных подпунктом 1.1.6.1 настоящего пункта)
</t>
  </si>
  <si>
    <t>9356*</t>
  </si>
  <si>
    <t>5</t>
  </si>
  <si>
    <t>141</t>
  </si>
  <si>
    <t>Предоставление социального пособия на погребение в Краснодарском крае лицу, взявшему на себя обязательства осуществить погребение (за исключением мер социальной поддержки, предусмотренных подпунктом 1.1.6.1 настоящего пункта)</t>
  </si>
  <si>
    <t>Предоставление единовременной материальной помощи гражданам, понесшим расходы, связанные с погребением малоимущих (за исключением мер социальной поддержки, предусмотренных подпунктом 1.1.6.1 настоящего пункта)</t>
  </si>
  <si>
    <t xml:space="preserve">01.07.2021
</t>
  </si>
  <si>
    <t>314867,3</t>
  </si>
  <si>
    <t>745594,8</t>
  </si>
  <si>
    <t xml:space="preserve">11.01.2021
</t>
  </si>
  <si>
    <t xml:space="preserve">начальник 
отдела финансового обеспечения подведомственных учреждений
Зенкин Р.С.
</t>
  </si>
  <si>
    <t xml:space="preserve">начальник отдела финансового обеспечения мер социальной под-держки Воякин Г.В.,
начальник отдела льгот и субсидий Брискман Д.В.
</t>
  </si>
  <si>
    <t xml:space="preserve">начальник отдела финансового обеспечения мер социальной поддержки         Воякин Г.В., начальник
отдела государственных гарантий и компенсаций Пономаренко Н.Ю.
</t>
  </si>
  <si>
    <t xml:space="preserve">начальник отдела финансового обеспечения мер социальной поддержки         Воякин Г.В., начальник отдела адресного предоставления льгот и субсидий Ролик Н.И.
</t>
  </si>
  <si>
    <t>01.10.201</t>
  </si>
  <si>
    <t xml:space="preserve">начальник отдела финансового обеспечения мер социальной поддержки Воякин Г.В.,
начальник отдела льгот и субсидий Брискман Д.В.
</t>
  </si>
  <si>
    <t xml:space="preserve">начальник
отдела финансового обеспечения мер социальной под-держки Воякин Г.В.,
начальник отдела управления оздоровления и отдыха детей
Степаненко А.В.
</t>
  </si>
  <si>
    <t xml:space="preserve">начальник отдела финансового обеспечения мер социальной поддержки Воякин Г.В.,
начальник отдела льгот и субсидий Брискман Д.В.
</t>
  </si>
  <si>
    <t>начальник
отдела финансового обеспечения мер социальной под-держки Воякин Г.В.,
начальник отдела управления оздоровления и отдыха детей
Степаненко А.В.</t>
  </si>
  <si>
    <t xml:space="preserve">нначальник
отдела финансового обеспечения мер социальной поддержки Воякин Г.В., ,начальник отдела по делам 
ветеранов Чернышева Е.В. 
</t>
  </si>
  <si>
    <t xml:space="preserve">начальник отдела финансового обеспечения мер социальной поддержки         Воякин Г.В., начальник
отдела по делам ветеранов Чернышева Е.В., начальник 
отдела органи-зации назначения и  выплаты государственных гарантий и компенсаций  Пономаренко Н.Ю., начальник  отдела организации адресного предоставления льгот и субсидий Ролик Н.И.
</t>
  </si>
  <si>
    <t xml:space="preserve">начальник отдела финансового обеспечения подведомственных учреждений Зенкин Р.С.,
начальник отдела организации деятельности домов-интернатов                                      Талькова Т.Н., начальник отдела организации деятельности учреждений для несовершеннолетних                                        Исаева И.Г., начальник отдела организации реабилитации инвалидов Шульга И.А.
</t>
  </si>
  <si>
    <t xml:space="preserve">начальник 
отдела финансового обеспечения подведомственных учрежденийЗенкин Р.С.,
начальник отдела по вопросам капитального ремонта и строительства              Ярошенко Н.Н.,
начальник  отдела организации деятельности учреждений социального 
обслуживания Дегтярь Л.В., начальник отдела организации деятельности домов-интернатов 
Талькова Т.Н., начальник 
отдела организации и реабилитации инвалидов
Шульга И.А. 
</t>
  </si>
  <si>
    <t xml:space="preserve">начальник 
отдела финансового обеспечения подведомственных учреждений Зенкин Р.С.,
начальник отдела организации деятельности домов-интернатов 
Талькова Т.Н. 
</t>
  </si>
  <si>
    <t xml:space="preserve">начальник отдела финансового обеспечения подведомственных учреждений Зенкин Р.С.,
начальник  отдела организации деятельности учреждений социального 
обслуживания  Дегтярь Л.В.
</t>
  </si>
  <si>
    <t xml:space="preserve">начальник отдела финансового обеспечения подведомственных учреждений Зенкин Р.С.,
начальник отдела по вопросам капитального ремонта и строительства 
Ярошенко Н.Н.
</t>
  </si>
  <si>
    <t xml:space="preserve">начальник отдела финансового обеспечения подведомственных учреждений Зенкин Р.С.
</t>
  </si>
  <si>
    <t xml:space="preserve">начальник отдела финансового обеспечения подведомственных учреждений
Зенкин Р.С., начальник 
отдела организации и реабилитации инвалидов
Шульга И.А., начальник
отдела организации деятельности учреждений для несовершеннолетних 
Исаева И.Г., начальник отдела по вопросам капитального ремонта и строительства             Ярошенко Н.Н.
</t>
  </si>
  <si>
    <t xml:space="preserve">начальник отдела финансового обеспечения подведомственных учреждений
Зенкин Р.С., начальник
отдела организации оздоровления и отдыха детей в управлении оздоровления и отдыха детей Рохлин П.Н.,
начальник отдела организации деятельности учреждений для несовершеннолетних
Исаева И.Г., начальник отдела по вопросам капитального ремонта и строительства             Ярошенко Н.Н.
</t>
  </si>
  <si>
    <t xml:space="preserve">начальник отдела финансового обеспечения мер социальной поддержки         Воякин Г.В.,
начальник отдела развития
семейных форм устройства
детей-сирот идетей, оставшихся без попечения
родителей Босенко Ю.Л.
</t>
  </si>
  <si>
    <t xml:space="preserve">начальник отдела управления оздоровления и отдыха детей
Степаненко А.В.
</t>
  </si>
  <si>
    <t>начальник отдела финансового обеспечения мер социальной поддержки         Воякин Г.В.,
начальник отдела развития
семейных форм устройства
детей-сирот идетей, оставшихся без попечения
родителей Босенко Ю.Л.</t>
  </si>
  <si>
    <t xml:space="preserve">начальник отдела финансового обеспечения мер социальной поддержки         Воякин Г.В.
</t>
  </si>
  <si>
    <t xml:space="preserve">начальник отдела финансового обеспечения мер социальной поддержки         Воякин Г.В.,
начальник отдела обеспечения деятельности комиссии по делам несовершеннолетних и защите их прав 
Панченко Р.А.
</t>
  </si>
  <si>
    <t xml:space="preserve">начальник отдела финансового обеспечения мер социальной поддержки         Воякин Г.В.,
начальник отдела организации деятельности учреждений для несовершеннолетних
Исаева И.Г.
</t>
  </si>
  <si>
    <t xml:space="preserve">начальник
отдела финансового обеспечения мер социальной поддержки Воякин Г.В.,
начальник отдела организации реабилитации инвалидов Шульга И.А.
</t>
  </si>
  <si>
    <t>начальник отдела развития
семейных форм устройства
детей-сирот идетей, оставшихся без попечения
родителей Босенко Ю.Л.</t>
  </si>
  <si>
    <t xml:space="preserve">начальник отдела финансового обеспечения мер социальной поддержки         Воякин Г.В.,
начальник отдела управления оздоровления и отдыха детей
Степаненко А.В.,
начальник отдела развития семейных форм устройства
детей-сирот и детей, оставшихся без попечения
родителей Босенко Ю.Л.,
начальник отдела организации назначения и выплаты государственных гарантий и компенсаций
Пономаренко Н.Ю.,
начальник отдела организации оздоровления и отдыха детей в управлении оздоровления и отдыха детей
Рохлин П.Н.
</t>
  </si>
  <si>
    <t>за первое полугодие 2021 года</t>
  </si>
  <si>
    <t xml:space="preserve">   за первое полугодие 2021 года</t>
  </si>
  <si>
    <r>
      <t xml:space="preserve">   за первое полугодие 2021 года</t>
    </r>
    <r>
      <rPr>
        <sz val="14"/>
        <color theme="0"/>
        <rFont val="Times New Roman"/>
        <family val="1"/>
        <charset val="204"/>
      </rPr>
      <t>.</t>
    </r>
  </si>
  <si>
    <t>расчитывается по итогам года</t>
  </si>
  <si>
    <t>расчитывается Федеральной службой государственной статистики (Росстат) ежегодно, 1-я оценка (предварительная) - 15 марта; 2-я оценка (окончательная) - 15 августа.</t>
  </si>
  <si>
    <t>возмещения недополученных доходов в связи с оказанием услуг по перевозке на городском наземном электрическом транспорте, автомобильном транспорте общего пользования на муниципальных маршрутах регулярных перевозок в городском, пригородном, междугородном сообщениях, межмуниципальных маршрутах регулярных перевозок в пригородном сообщении, а также на смежных межрегиональных маршрутах регулярных перевозок в пригородном сообщении, начальные и конечные остановочные пункты которых расположены в границах Краснодарского края, железнодорожном транспорте пригородного сообщения отдельных категорий жителей Краснодарского края в соответствии с Законом Краснодарского края от 13 февраля 2006 г. N 987-КЗ "О дополнительных мерах социальной поддержки по оплате проезда отдельных категорий жителей Краснодарского края на 2006 - 2023 годы" (за исключением мер социальной поддержки, предусмотренных подпунктом 1.1.8.1 настоящего пункта)
по перевозке на городском наземном электрическом транспорте, автомобильном транспорте общего пользования на муниципальных маршру-тах регулярных перево-зок в городском,</t>
  </si>
  <si>
    <t xml:space="preserve"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це-лях возмещения недопо-лученных доходов в связи с оказанием услуг 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</t>
  </si>
  <si>
    <t>Выполнение непосредственного результата запланирован в 3 квартале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</si>
</sst>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43" x14ac:knownFonts="1">
    <font>
      <sz val="11"/>
      <color theme="1"/>
      <name val="Calibri"/>
      <family val="2"/>
      <scheme val="minor"/>
    </font>
    <font>
      <sz val="48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30"/>
      <name val="Calibri"/>
      <family val="2"/>
      <charset val="204"/>
      <scheme val="minor"/>
    </font>
    <font>
      <u/>
      <sz val="48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28"/>
      <name val="Calibri"/>
      <family val="2"/>
      <charset val="204"/>
      <scheme val="minor"/>
    </font>
    <font>
      <i/>
      <sz val="28"/>
      <name val="Times New Roman"/>
      <family val="1"/>
      <charset val="204"/>
    </font>
    <font>
      <i/>
      <vertAlign val="superscript"/>
      <sz val="2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Times New Roman"/>
      <family val="1"/>
      <charset val="204"/>
    </font>
    <font>
      <sz val="2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u/>
      <sz val="10"/>
      <color indexed="12"/>
      <name val="Arial Cyr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1"/>
      <name val="Calibri"/>
      <family val="2"/>
      <scheme val="minor"/>
    </font>
    <font>
      <sz val="1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u/>
      <sz val="36"/>
      <name val="Times New Roman"/>
      <family val="1"/>
      <charset val="204"/>
    </font>
    <font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32" fillId="0" borderId="0"/>
  </cellStyleXfs>
  <cellXfs count="406">
    <xf numFmtId="0" fontId="0" fillId="0" borderId="0" xfId="0"/>
    <xf numFmtId="0" fontId="5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 vertical="top" textRotation="90" wrapText="1"/>
    </xf>
    <xf numFmtId="164" fontId="8" fillId="2" borderId="2" xfId="0" applyNumberFormat="1" applyFont="1" applyFill="1" applyBorder="1" applyAlignment="1">
      <alignment horizontal="center" vertical="top" textRotation="90" wrapText="1"/>
    </xf>
    <xf numFmtId="165" fontId="5" fillId="2" borderId="2" xfId="0" applyNumberFormat="1" applyFont="1" applyFill="1" applyBorder="1" applyAlignment="1">
      <alignment horizontal="center" vertical="top" textRotation="90" wrapText="1"/>
    </xf>
    <xf numFmtId="49" fontId="5" fillId="2" borderId="2" xfId="0" applyNumberFormat="1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164" fontId="10" fillId="2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/>
    </xf>
    <xf numFmtId="165" fontId="3" fillId="2" borderId="0" xfId="0" applyNumberFormat="1" applyFont="1" applyFill="1" applyBorder="1"/>
    <xf numFmtId="49" fontId="6" fillId="2" borderId="2" xfId="0" applyNumberFormat="1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vertical="top"/>
    </xf>
    <xf numFmtId="0" fontId="6" fillId="2" borderId="2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left" vertical="top"/>
    </xf>
    <xf numFmtId="49" fontId="12" fillId="2" borderId="0" xfId="0" applyNumberFormat="1" applyFont="1" applyFill="1" applyBorder="1" applyAlignment="1">
      <alignment horizontal="center" vertical="top" wrapText="1"/>
    </xf>
    <xf numFmtId="49" fontId="12" fillId="2" borderId="0" xfId="0" applyNumberFormat="1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top"/>
    </xf>
    <xf numFmtId="164" fontId="12" fillId="2" borderId="0" xfId="0" applyNumberFormat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/>
    </xf>
    <xf numFmtId="164" fontId="15" fillId="2" borderId="0" xfId="0" applyNumberFormat="1" applyFont="1" applyFill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top"/>
    </xf>
    <xf numFmtId="0" fontId="19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164" fontId="18" fillId="2" borderId="2" xfId="0" applyNumberFormat="1" applyFont="1" applyFill="1" applyBorder="1" applyAlignment="1">
      <alignment vertical="top" wrapText="1"/>
    </xf>
    <xf numFmtId="49" fontId="15" fillId="2" borderId="2" xfId="0" applyNumberFormat="1" applyFont="1" applyFill="1" applyBorder="1" applyAlignment="1">
      <alignment horizontal="center" vertical="top"/>
    </xf>
    <xf numFmtId="0" fontId="18" fillId="2" borderId="2" xfId="0" applyFont="1" applyFill="1" applyBorder="1" applyAlignment="1">
      <alignment horizontal="center" vertical="top" wrapText="1"/>
    </xf>
    <xf numFmtId="3" fontId="18" fillId="2" borderId="2" xfId="0" applyNumberFormat="1" applyFont="1" applyFill="1" applyBorder="1" applyAlignment="1">
      <alignment horizontal="center" vertical="top" wrapText="1"/>
    </xf>
    <xf numFmtId="3" fontId="20" fillId="2" borderId="2" xfId="0" applyNumberFormat="1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166" fontId="18" fillId="2" borderId="2" xfId="0" applyNumberFormat="1" applyFont="1" applyFill="1" applyBorder="1" applyAlignment="1">
      <alignment horizontal="center" vertical="top" wrapText="1"/>
    </xf>
    <xf numFmtId="49" fontId="15" fillId="2" borderId="2" xfId="0" applyNumberFormat="1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vertical="top" wrapText="1"/>
    </xf>
    <xf numFmtId="49" fontId="23" fillId="2" borderId="0" xfId="1" applyNumberFormat="1" applyFont="1" applyFill="1" applyAlignment="1">
      <alignment horizontal="center"/>
    </xf>
    <xf numFmtId="0" fontId="24" fillId="2" borderId="0" xfId="1" applyFont="1" applyFill="1" applyAlignment="1">
      <alignment horizontal="left"/>
    </xf>
    <xf numFmtId="0" fontId="24" fillId="2" borderId="0" xfId="1" applyFont="1" applyFill="1"/>
    <xf numFmtId="164" fontId="24" fillId="2" borderId="0" xfId="1" applyNumberFormat="1" applyFont="1" applyFill="1" applyBorder="1" applyAlignment="1">
      <alignment horizontal="center"/>
    </xf>
    <xf numFmtId="0" fontId="23" fillId="2" borderId="0" xfId="1" applyFont="1" applyFill="1" applyBorder="1"/>
    <xf numFmtId="0" fontId="23" fillId="2" borderId="0" xfId="1" applyFont="1" applyFill="1" applyBorder="1" applyAlignment="1">
      <alignment horizontal="left" vertical="top" wrapText="1"/>
    </xf>
    <xf numFmtId="164" fontId="23" fillId="2" borderId="0" xfId="1" applyNumberFormat="1" applyFont="1" applyFill="1" applyBorder="1" applyAlignment="1">
      <alignment horizontal="center" vertical="center"/>
    </xf>
    <xf numFmtId="0" fontId="23" fillId="2" borderId="0" xfId="1" applyFont="1" applyFill="1" applyBorder="1" applyAlignment="1">
      <alignment horizontal="center" vertical="top"/>
    </xf>
    <xf numFmtId="0" fontId="23" fillId="2" borderId="0" xfId="1" applyFont="1" applyFill="1" applyAlignment="1">
      <alignment vertical="top"/>
    </xf>
    <xf numFmtId="0" fontId="23" fillId="2" borderId="0" xfId="1" applyFont="1" applyFill="1"/>
    <xf numFmtId="49" fontId="25" fillId="2" borderId="0" xfId="1" applyNumberFormat="1" applyFont="1" applyFill="1" applyBorder="1" applyAlignment="1"/>
    <xf numFmtId="49" fontId="25" fillId="2" borderId="0" xfId="1" applyNumberFormat="1" applyFont="1" applyFill="1" applyBorder="1" applyAlignment="1">
      <alignment horizontal="left"/>
    </xf>
    <xf numFmtId="164" fontId="24" fillId="2" borderId="0" xfId="1" applyNumberFormat="1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center" vertical="top"/>
    </xf>
    <xf numFmtId="0" fontId="23" fillId="2" borderId="0" xfId="1" applyFont="1" applyFill="1" applyBorder="1" applyAlignment="1">
      <alignment vertical="top"/>
    </xf>
    <xf numFmtId="49" fontId="25" fillId="2" borderId="0" xfId="1" applyNumberFormat="1" applyFont="1" applyFill="1" applyBorder="1" applyAlignment="1">
      <alignment wrapText="1"/>
    </xf>
    <xf numFmtId="49" fontId="25" fillId="2" borderId="0" xfId="1" applyNumberFormat="1" applyFont="1" applyFill="1" applyBorder="1" applyAlignment="1">
      <alignment horizontal="left" wrapText="1"/>
    </xf>
    <xf numFmtId="49" fontId="24" fillId="2" borderId="0" xfId="1" applyNumberFormat="1" applyFont="1" applyFill="1" applyBorder="1" applyAlignment="1">
      <alignment horizontal="center"/>
    </xf>
    <xf numFmtId="49" fontId="24" fillId="2" borderId="0" xfId="1" applyNumberFormat="1" applyFont="1" applyFill="1" applyBorder="1" applyAlignment="1">
      <alignment horizontal="left"/>
    </xf>
    <xf numFmtId="0" fontId="24" fillId="2" borderId="0" xfId="1" applyFont="1" applyFill="1" applyBorder="1" applyAlignment="1">
      <alignment horizontal="left" vertical="top" wrapText="1"/>
    </xf>
    <xf numFmtId="164" fontId="25" fillId="2" borderId="0" xfId="1" applyNumberFormat="1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top"/>
    </xf>
    <xf numFmtId="0" fontId="23" fillId="2" borderId="0" xfId="1" applyFont="1" applyFill="1" applyBorder="1" applyAlignment="1">
      <alignment horizontal="center"/>
    </xf>
    <xf numFmtId="164" fontId="25" fillId="2" borderId="2" xfId="1" applyNumberFormat="1" applyFont="1" applyFill="1" applyBorder="1" applyAlignment="1">
      <alignment horizontal="center" vertical="top" wrapText="1"/>
    </xf>
    <xf numFmtId="49" fontId="25" fillId="2" borderId="2" xfId="1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>
      <alignment horizontal="center" vertical="center" wrapText="1"/>
    </xf>
    <xf numFmtId="3" fontId="25" fillId="2" borderId="2" xfId="1" applyNumberFormat="1" applyFont="1" applyFill="1" applyBorder="1" applyAlignment="1">
      <alignment horizontal="center" vertical="center" wrapText="1"/>
    </xf>
    <xf numFmtId="0" fontId="25" fillId="2" borderId="0" xfId="1" applyFont="1" applyFill="1" applyBorder="1"/>
    <xf numFmtId="164" fontId="25" fillId="2" borderId="0" xfId="1" applyNumberFormat="1" applyFont="1" applyFill="1" applyBorder="1" applyAlignment="1">
      <alignment horizontal="center" vertical="top"/>
    </xf>
    <xf numFmtId="0" fontId="25" fillId="2" borderId="2" xfId="1" applyFont="1" applyFill="1" applyBorder="1" applyAlignment="1">
      <alignment vertical="top" wrapText="1"/>
    </xf>
    <xf numFmtId="164" fontId="23" fillId="2" borderId="0" xfId="1" applyNumberFormat="1" applyFont="1" applyFill="1" applyBorder="1" applyAlignment="1">
      <alignment vertical="top"/>
    </xf>
    <xf numFmtId="49" fontId="29" fillId="2" borderId="2" xfId="1" applyNumberFormat="1" applyFont="1" applyFill="1" applyBorder="1" applyAlignment="1">
      <alignment horizontal="center" vertical="top" wrapText="1"/>
    </xf>
    <xf numFmtId="164" fontId="30" fillId="2" borderId="1" xfId="1" applyNumberFormat="1" applyFont="1" applyFill="1" applyBorder="1" applyAlignment="1">
      <alignment horizontal="center" vertical="top" wrapText="1"/>
    </xf>
    <xf numFmtId="0" fontId="29" fillId="2" borderId="1" xfId="1" applyFont="1" applyFill="1" applyBorder="1" applyAlignment="1">
      <alignment horizontal="left" vertical="top" wrapText="1"/>
    </xf>
    <xf numFmtId="0" fontId="31" fillId="2" borderId="0" xfId="1" applyFont="1" applyFill="1" applyBorder="1"/>
    <xf numFmtId="0" fontId="25" fillId="2" borderId="12" xfId="1" applyFont="1" applyFill="1" applyBorder="1" applyAlignment="1">
      <alignment horizontal="left" vertical="top" wrapText="1"/>
    </xf>
    <xf numFmtId="0" fontId="28" fillId="2" borderId="2" xfId="1" applyFont="1" applyFill="1" applyBorder="1" applyAlignment="1">
      <alignment vertical="top" wrapText="1"/>
    </xf>
    <xf numFmtId="164" fontId="23" fillId="2" borderId="0" xfId="1" applyNumberFormat="1" applyFont="1" applyFill="1" applyBorder="1"/>
    <xf numFmtId="49" fontId="25" fillId="2" borderId="2" xfId="1" applyNumberFormat="1" applyFont="1" applyFill="1" applyBorder="1" applyAlignment="1">
      <alignment horizontal="center" vertical="top"/>
    </xf>
    <xf numFmtId="0" fontId="25" fillId="2" borderId="8" xfId="1" applyFont="1" applyFill="1" applyBorder="1" applyAlignment="1">
      <alignment horizontal="left" vertical="top" wrapText="1"/>
    </xf>
    <xf numFmtId="164" fontId="28" fillId="2" borderId="4" xfId="1" applyNumberFormat="1" applyFont="1" applyFill="1" applyBorder="1" applyAlignment="1">
      <alignment horizontal="center" vertical="top" wrapText="1"/>
    </xf>
    <xf numFmtId="0" fontId="23" fillId="2" borderId="0" xfId="1" applyFont="1" applyFill="1" applyBorder="1" applyAlignment="1">
      <alignment horizontal="left"/>
    </xf>
    <xf numFmtId="0" fontId="25" fillId="2" borderId="5" xfId="1" applyFont="1" applyFill="1" applyBorder="1" applyAlignment="1">
      <alignment vertical="top" wrapText="1"/>
    </xf>
    <xf numFmtId="49" fontId="25" fillId="2" borderId="5" xfId="1" applyNumberFormat="1" applyFont="1" applyFill="1" applyBorder="1" applyAlignment="1">
      <alignment vertical="top" wrapText="1"/>
    </xf>
    <xf numFmtId="0" fontId="29" fillId="2" borderId="2" xfId="1" applyFont="1" applyFill="1" applyBorder="1" applyAlignment="1">
      <alignment horizontal="center" vertical="top" wrapText="1"/>
    </xf>
    <xf numFmtId="0" fontId="25" fillId="2" borderId="0" xfId="1" applyFont="1" applyFill="1" applyBorder="1" applyAlignment="1">
      <alignment horizontal="left" vertical="top" wrapText="1"/>
    </xf>
    <xf numFmtId="49" fontId="24" fillId="2" borderId="1" xfId="1" applyNumberFormat="1" applyFont="1" applyFill="1" applyBorder="1" applyAlignment="1">
      <alignment horizontal="center" vertical="top" wrapText="1"/>
    </xf>
    <xf numFmtId="49" fontId="24" fillId="2" borderId="2" xfId="1" applyNumberFormat="1" applyFont="1" applyFill="1" applyBorder="1" applyAlignment="1">
      <alignment horizontal="center" vertical="top" wrapText="1"/>
    </xf>
    <xf numFmtId="49" fontId="25" fillId="2" borderId="2" xfId="1" applyNumberFormat="1" applyFont="1" applyFill="1" applyBorder="1" applyAlignment="1">
      <alignment vertical="top" wrapText="1"/>
    </xf>
    <xf numFmtId="164" fontId="30" fillId="2" borderId="5" xfId="1" applyNumberFormat="1" applyFont="1" applyFill="1" applyBorder="1" applyAlignment="1">
      <alignment horizontal="center" vertical="top" wrapText="1"/>
    </xf>
    <xf numFmtId="49" fontId="25" fillId="2" borderId="1" xfId="1" applyNumberFormat="1" applyFont="1" applyFill="1" applyBorder="1" applyAlignment="1">
      <alignment vertical="top" wrapText="1"/>
    </xf>
    <xf numFmtId="49" fontId="25" fillId="2" borderId="2" xfId="1" applyNumberFormat="1" applyFont="1" applyFill="1" applyBorder="1" applyAlignment="1">
      <alignment horizontal="center"/>
    </xf>
    <xf numFmtId="49" fontId="33" fillId="2" borderId="0" xfId="1" applyNumberFormat="1" applyFont="1" applyFill="1" applyBorder="1" applyAlignment="1">
      <alignment horizontal="left"/>
    </xf>
    <xf numFmtId="164" fontId="33" fillId="2" borderId="0" xfId="1" applyNumberFormat="1" applyFont="1" applyFill="1" applyBorder="1" applyAlignment="1">
      <alignment horizontal="center"/>
    </xf>
    <xf numFmtId="164" fontId="25" fillId="2" borderId="0" xfId="1" applyNumberFormat="1" applyFont="1" applyFill="1" applyBorder="1" applyAlignment="1">
      <alignment horizontal="center"/>
    </xf>
    <xf numFmtId="49" fontId="12" fillId="2" borderId="0" xfId="1" applyNumberFormat="1" applyFont="1" applyFill="1" applyBorder="1" applyAlignment="1">
      <alignment horizontal="right" wrapText="1"/>
    </xf>
    <xf numFmtId="164" fontId="13" fillId="2" borderId="0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Border="1" applyAlignment="1">
      <alignment horizontal="center" vertical="top" wrapText="1"/>
    </xf>
    <xf numFmtId="49" fontId="13" fillId="2" borderId="0" xfId="1" applyNumberFormat="1" applyFont="1" applyFill="1" applyBorder="1" applyAlignment="1">
      <alignment horizontal="right" wrapText="1"/>
    </xf>
    <xf numFmtId="49" fontId="13" fillId="2" borderId="0" xfId="1" applyNumberFormat="1" applyFont="1" applyFill="1" applyBorder="1" applyAlignment="1">
      <alignment horizontal="left" wrapText="1"/>
    </xf>
    <xf numFmtId="0" fontId="25" fillId="2" borderId="0" xfId="1" applyFont="1" applyFill="1" applyBorder="1" applyAlignment="1">
      <alignment horizontal="left"/>
    </xf>
    <xf numFmtId="0" fontId="5" fillId="2" borderId="2" xfId="0" applyFont="1" applyFill="1" applyBorder="1" applyAlignment="1">
      <alignment vertical="top" wrapText="1"/>
    </xf>
    <xf numFmtId="3" fontId="5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/>
    </xf>
    <xf numFmtId="164" fontId="11" fillId="2" borderId="2" xfId="0" applyNumberFormat="1" applyFont="1" applyFill="1" applyBorder="1" applyAlignment="1">
      <alignment horizontal="center" vertical="top"/>
    </xf>
    <xf numFmtId="49" fontId="5" fillId="2" borderId="2" xfId="0" applyNumberFormat="1" applyFont="1" applyFill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left" vertical="top" wrapText="1"/>
    </xf>
    <xf numFmtId="164" fontId="11" fillId="2" borderId="2" xfId="0" applyNumberFormat="1" applyFont="1" applyFill="1" applyBorder="1" applyAlignment="1">
      <alignment vertical="top"/>
    </xf>
    <xf numFmtId="164" fontId="11" fillId="2" borderId="2" xfId="0" applyNumberFormat="1" applyFont="1" applyFill="1" applyBorder="1" applyAlignment="1">
      <alignment vertical="top" wrapText="1"/>
    </xf>
    <xf numFmtId="164" fontId="5" fillId="2" borderId="2" xfId="0" applyNumberFormat="1" applyFont="1" applyFill="1" applyBorder="1" applyAlignment="1">
      <alignment vertical="top" wrapText="1"/>
    </xf>
    <xf numFmtId="0" fontId="5" fillId="2" borderId="2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164" fontId="31" fillId="2" borderId="0" xfId="1" applyNumberFormat="1" applyFont="1" applyFill="1" applyBorder="1"/>
    <xf numFmtId="164" fontId="29" fillId="2" borderId="0" xfId="1" applyNumberFormat="1" applyFont="1" applyFill="1" applyBorder="1" applyAlignment="1">
      <alignment horizontal="center" vertical="top"/>
    </xf>
    <xf numFmtId="164" fontId="31" fillId="2" borderId="0" xfId="1" applyNumberFormat="1" applyFont="1" applyFill="1" applyBorder="1" applyAlignment="1">
      <alignment vertical="top"/>
    </xf>
    <xf numFmtId="0" fontId="3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5" fillId="2" borderId="2" xfId="0" applyNumberFormat="1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165" fontId="5" fillId="2" borderId="2" xfId="0" applyNumberFormat="1" applyFont="1" applyFill="1" applyBorder="1" applyAlignment="1">
      <alignment horizontal="left" vertical="top" wrapText="1"/>
    </xf>
    <xf numFmtId="165" fontId="6" fillId="2" borderId="2" xfId="0" applyNumberFormat="1" applyFont="1" applyFill="1" applyBorder="1" applyAlignment="1">
      <alignment horizontal="left" vertical="top"/>
    </xf>
    <xf numFmtId="165" fontId="5" fillId="2" borderId="2" xfId="0" applyNumberFormat="1" applyFont="1" applyFill="1" applyBorder="1" applyAlignment="1">
      <alignment horizontal="left" vertical="top"/>
    </xf>
    <xf numFmtId="164" fontId="5" fillId="2" borderId="0" xfId="0" applyNumberFormat="1" applyFont="1" applyFill="1" applyBorder="1" applyAlignment="1">
      <alignment horizontal="right" vertical="top"/>
    </xf>
    <xf numFmtId="164" fontId="5" fillId="2" borderId="2" xfId="0" applyNumberFormat="1" applyFont="1" applyFill="1" applyBorder="1" applyAlignment="1">
      <alignment horizontal="right" vertical="top" textRotation="90" wrapText="1"/>
    </xf>
    <xf numFmtId="49" fontId="5" fillId="2" borderId="2" xfId="0" applyNumberFormat="1" applyFont="1" applyFill="1" applyBorder="1" applyAlignment="1">
      <alignment horizontal="right" vertical="top"/>
    </xf>
    <xf numFmtId="164" fontId="10" fillId="2" borderId="2" xfId="0" applyNumberFormat="1" applyFont="1" applyFill="1" applyBorder="1" applyAlignment="1">
      <alignment horizontal="right" vertical="top"/>
    </xf>
    <xf numFmtId="164" fontId="11" fillId="2" borderId="2" xfId="0" applyNumberFormat="1" applyFont="1" applyFill="1" applyBorder="1" applyAlignment="1">
      <alignment horizontal="right" vertical="top"/>
    </xf>
    <xf numFmtId="164" fontId="11" fillId="2" borderId="2" xfId="0" applyNumberFormat="1" applyFont="1" applyFill="1" applyBorder="1" applyAlignment="1">
      <alignment horizontal="right" vertical="top" wrapText="1"/>
    </xf>
    <xf numFmtId="49" fontId="12" fillId="2" borderId="0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164" fontId="12" fillId="2" borderId="0" xfId="0" applyNumberFormat="1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left" vertical="top" wrapText="1"/>
    </xf>
    <xf numFmtId="164" fontId="18" fillId="2" borderId="2" xfId="0" applyNumberFormat="1" applyFont="1" applyFill="1" applyBorder="1" applyAlignment="1">
      <alignment horizontal="center" vertical="top" wrapText="1"/>
    </xf>
    <xf numFmtId="164" fontId="30" fillId="2" borderId="2" xfId="1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49" fontId="25" fillId="2" borderId="2" xfId="1" applyNumberFormat="1" applyFont="1" applyFill="1" applyBorder="1" applyAlignment="1">
      <alignment horizontal="center" vertical="top" wrapText="1"/>
    </xf>
    <xf numFmtId="0" fontId="25" fillId="2" borderId="2" xfId="1" applyFont="1" applyFill="1" applyBorder="1" applyAlignment="1">
      <alignment horizontal="center" vertical="top" wrapText="1"/>
    </xf>
    <xf numFmtId="0" fontId="28" fillId="2" borderId="2" xfId="1" applyFont="1" applyFill="1" applyBorder="1" applyAlignment="1">
      <alignment horizontal="center" vertical="top" wrapText="1"/>
    </xf>
    <xf numFmtId="165" fontId="18" fillId="2" borderId="2" xfId="0" applyNumberFormat="1" applyFont="1" applyFill="1" applyBorder="1" applyAlignment="1">
      <alignment horizontal="center" vertical="top" wrapText="1"/>
    </xf>
    <xf numFmtId="2" fontId="18" fillId="2" borderId="2" xfId="0" applyNumberFormat="1" applyFont="1" applyFill="1" applyBorder="1" applyAlignment="1">
      <alignment horizontal="center" vertical="top" wrapText="1"/>
    </xf>
    <xf numFmtId="165" fontId="18" fillId="2" borderId="2" xfId="0" applyNumberFormat="1" applyFont="1" applyFill="1" applyBorder="1" applyAlignment="1">
      <alignment horizontal="left" vertical="top" wrapText="1" indent="2"/>
    </xf>
    <xf numFmtId="0" fontId="21" fillId="2" borderId="0" xfId="0" applyFont="1" applyFill="1" applyAlignment="1">
      <alignment horizontal="center" vertical="top" wrapText="1"/>
    </xf>
    <xf numFmtId="164" fontId="12" fillId="2" borderId="0" xfId="0" applyNumberFormat="1" applyFont="1" applyFill="1" applyBorder="1" applyAlignment="1">
      <alignment horizontal="center" vertical="top" wrapText="1"/>
    </xf>
    <xf numFmtId="164" fontId="0" fillId="2" borderId="0" xfId="0" applyNumberFormat="1" applyFill="1"/>
    <xf numFmtId="0" fontId="5" fillId="2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64" fontId="12" fillId="2" borderId="0" xfId="0" applyNumberFormat="1" applyFont="1" applyFill="1" applyBorder="1" applyAlignment="1">
      <alignment horizontal="right" vertical="top" wrapText="1"/>
    </xf>
    <xf numFmtId="164" fontId="0" fillId="2" borderId="0" xfId="0" applyNumberFormat="1" applyFill="1" applyAlignment="1">
      <alignment horizontal="right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49" fontId="25" fillId="2" borderId="4" xfId="1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right" vertical="top"/>
    </xf>
    <xf numFmtId="0" fontId="25" fillId="2" borderId="1" xfId="1" applyFont="1" applyFill="1" applyBorder="1" applyAlignment="1">
      <alignment horizontal="center" vertical="top" wrapText="1"/>
    </xf>
    <xf numFmtId="0" fontId="25" fillId="2" borderId="7" xfId="1" applyFont="1" applyFill="1" applyBorder="1" applyAlignment="1">
      <alignment horizontal="center" vertical="top" wrapText="1"/>
    </xf>
    <xf numFmtId="0" fontId="25" fillId="2" borderId="5" xfId="1" applyFont="1" applyFill="1" applyBorder="1" applyAlignment="1">
      <alignment horizontal="center" vertical="top" wrapText="1"/>
    </xf>
    <xf numFmtId="49" fontId="25" fillId="2" borderId="1" xfId="1" applyNumberFormat="1" applyFont="1" applyFill="1" applyBorder="1" applyAlignment="1">
      <alignment horizontal="center" vertical="top" wrapText="1"/>
    </xf>
    <xf numFmtId="49" fontId="25" fillId="2" borderId="7" xfId="1" applyNumberFormat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horizontal="center" vertical="top" wrapText="1"/>
    </xf>
    <xf numFmtId="0" fontId="25" fillId="2" borderId="1" xfId="2" applyFont="1" applyFill="1" applyBorder="1" applyAlignment="1" applyProtection="1">
      <alignment horizontal="center" vertical="top" wrapText="1"/>
    </xf>
    <xf numFmtId="0" fontId="25" fillId="2" borderId="7" xfId="2" applyFont="1" applyFill="1" applyBorder="1" applyAlignment="1" applyProtection="1">
      <alignment horizontal="center" vertical="top" wrapText="1"/>
    </xf>
    <xf numFmtId="0" fontId="25" fillId="2" borderId="5" xfId="2" applyFont="1" applyFill="1" applyBorder="1" applyAlignment="1" applyProtection="1">
      <alignment horizontal="center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horizontal="left" vertical="top" wrapText="1"/>
    </xf>
    <xf numFmtId="0" fontId="25" fillId="2" borderId="5" xfId="1" applyFont="1" applyFill="1" applyBorder="1" applyAlignment="1">
      <alignment horizontal="left" vertical="top" wrapText="1"/>
    </xf>
    <xf numFmtId="14" fontId="28" fillId="2" borderId="1" xfId="1" applyNumberFormat="1" applyFont="1" applyFill="1" applyBorder="1" applyAlignment="1">
      <alignment horizontal="center" vertical="top" wrapText="1"/>
    </xf>
    <xf numFmtId="14" fontId="28" fillId="2" borderId="5" xfId="1" applyNumberFormat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center" vertical="top" wrapText="1"/>
    </xf>
    <xf numFmtId="0" fontId="28" fillId="2" borderId="5" xfId="1" applyFont="1" applyFill="1" applyBorder="1" applyAlignment="1">
      <alignment horizontal="center" vertical="top" wrapText="1"/>
    </xf>
    <xf numFmtId="0" fontId="25" fillId="2" borderId="7" xfId="1" applyFont="1" applyFill="1" applyBorder="1" applyAlignment="1">
      <alignment horizontal="left" vertical="top" wrapText="1"/>
    </xf>
    <xf numFmtId="14" fontId="28" fillId="2" borderId="7" xfId="1" applyNumberFormat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horizontal="left" vertical="top" wrapText="1"/>
    </xf>
    <xf numFmtId="14" fontId="28" fillId="2" borderId="2" xfId="1" applyNumberFormat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0" fontId="25" fillId="2" borderId="2" xfId="1" applyFont="1" applyFill="1" applyBorder="1" applyAlignment="1">
      <alignment horizontal="left" vertical="top" wrapText="1"/>
    </xf>
    <xf numFmtId="0" fontId="25" fillId="2" borderId="1" xfId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10" fillId="2" borderId="0" xfId="0" applyNumberFormat="1" applyFont="1" applyFill="1" applyBorder="1" applyAlignment="1">
      <alignment horizontal="right" vertical="top"/>
    </xf>
    <xf numFmtId="0" fontId="36" fillId="2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2" fontId="11" fillId="2" borderId="0" xfId="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1" fillId="2" borderId="0" xfId="0" applyFont="1" applyFill="1"/>
    <xf numFmtId="164" fontId="41" fillId="2" borderId="0" xfId="0" applyNumberFormat="1" applyFont="1" applyFill="1"/>
    <xf numFmtId="0" fontId="36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49" fontId="25" fillId="2" borderId="5" xfId="1" applyNumberFormat="1" applyFont="1" applyFill="1" applyBorder="1" applyAlignment="1">
      <alignment horizontal="center" vertical="top" wrapText="1"/>
    </xf>
    <xf numFmtId="14" fontId="28" fillId="2" borderId="1" xfId="1" applyNumberFormat="1" applyFont="1" applyFill="1" applyBorder="1" applyAlignment="1">
      <alignment horizontal="center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7" xfId="1" applyNumberFormat="1" applyFont="1" applyFill="1" applyBorder="1" applyAlignment="1">
      <alignment horizontal="center" vertical="top" wrapText="1"/>
    </xf>
    <xf numFmtId="164" fontId="28" fillId="2" borderId="5" xfId="1" applyNumberFormat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0" fontId="25" fillId="2" borderId="2" xfId="1" applyFont="1" applyFill="1" applyBorder="1" applyAlignment="1">
      <alignment horizontal="left" vertical="top" wrapText="1"/>
    </xf>
    <xf numFmtId="0" fontId="28" fillId="2" borderId="5" xfId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horizontal="center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7" xfId="1" applyNumberFormat="1" applyFont="1" applyFill="1" applyBorder="1" applyAlignment="1">
      <alignment horizontal="center" vertical="top" wrapText="1"/>
    </xf>
    <xf numFmtId="164" fontId="28" fillId="2" borderId="5" xfId="1" applyNumberFormat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0" fontId="28" fillId="2" borderId="5" xfId="1" applyFont="1" applyFill="1" applyBorder="1" applyAlignment="1">
      <alignment horizontal="center" vertical="top" wrapText="1"/>
    </xf>
    <xf numFmtId="164" fontId="28" fillId="2" borderId="12" xfId="1" applyNumberFormat="1" applyFont="1" applyFill="1" applyBorder="1" applyAlignment="1">
      <alignment horizontal="center" vertical="top" wrapText="1"/>
    </xf>
    <xf numFmtId="164" fontId="28" fillId="2" borderId="11" xfId="1" applyNumberFormat="1" applyFont="1" applyFill="1" applyBorder="1" applyAlignment="1">
      <alignment horizontal="center" vertical="top" wrapText="1"/>
    </xf>
    <xf numFmtId="164" fontId="28" fillId="2" borderId="6" xfId="1" applyNumberFormat="1" applyFont="1" applyFill="1" applyBorder="1" applyAlignment="1">
      <alignment horizontal="center" vertical="top" wrapText="1"/>
    </xf>
    <xf numFmtId="49" fontId="30" fillId="2" borderId="8" xfId="1" applyNumberFormat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7" xfId="1" applyNumberFormat="1" applyFont="1" applyFill="1" applyBorder="1" applyAlignment="1">
      <alignment horizontal="center" vertical="top" wrapText="1"/>
    </xf>
    <xf numFmtId="164" fontId="28" fillId="2" borderId="5" xfId="1" applyNumberFormat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vertical="top" wrapText="1"/>
    </xf>
    <xf numFmtId="0" fontId="28" fillId="2" borderId="5" xfId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24" fillId="2" borderId="0" xfId="1" applyFont="1" applyFill="1" applyBorder="1"/>
    <xf numFmtId="164" fontId="25" fillId="2" borderId="0" xfId="1" applyNumberFormat="1" applyFont="1" applyFill="1" applyBorder="1" applyAlignment="1">
      <alignment horizontal="center" vertical="center" wrapText="1"/>
    </xf>
    <xf numFmtId="164" fontId="25" fillId="2" borderId="0" xfId="2" applyNumberFormat="1" applyFont="1" applyFill="1" applyBorder="1" applyAlignment="1" applyProtection="1">
      <alignment horizontal="center" vertical="top" wrapText="1"/>
    </xf>
    <xf numFmtId="164" fontId="25" fillId="2" borderId="0" xfId="1" applyNumberFormat="1" applyFont="1" applyFill="1" applyBorder="1" applyAlignment="1">
      <alignment horizontal="center" vertical="top" wrapText="1"/>
    </xf>
    <xf numFmtId="3" fontId="25" fillId="2" borderId="0" xfId="1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top"/>
    </xf>
    <xf numFmtId="9" fontId="5" fillId="2" borderId="2" xfId="0" applyNumberFormat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horizontal="left" vertical="top" wrapText="1"/>
    </xf>
    <xf numFmtId="0" fontId="25" fillId="2" borderId="5" xfId="1" applyFont="1" applyFill="1" applyBorder="1" applyAlignment="1">
      <alignment horizontal="left" vertical="top" wrapText="1"/>
    </xf>
    <xf numFmtId="14" fontId="28" fillId="2" borderId="1" xfId="1" applyNumberFormat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vertical="top" wrapText="1"/>
    </xf>
    <xf numFmtId="14" fontId="28" fillId="2" borderId="2" xfId="1" applyNumberFormat="1" applyFont="1" applyFill="1" applyBorder="1" applyAlignment="1">
      <alignment horizontal="center" vertical="top" wrapText="1"/>
    </xf>
    <xf numFmtId="0" fontId="25" fillId="2" borderId="2" xfId="1" applyFont="1" applyFill="1" applyBorder="1" applyAlignment="1">
      <alignment horizontal="left" vertical="top" wrapText="1"/>
    </xf>
    <xf numFmtId="0" fontId="28" fillId="2" borderId="1" xfId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14" fontId="28" fillId="2" borderId="2" xfId="1" applyNumberFormat="1" applyFont="1" applyFill="1" applyBorder="1" applyAlignment="1">
      <alignment horizontal="center" vertical="top" wrapText="1"/>
    </xf>
    <xf numFmtId="0" fontId="25" fillId="2" borderId="2" xfId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65" fontId="30" fillId="2" borderId="8" xfId="1" applyNumberFormat="1" applyFont="1" applyFill="1" applyBorder="1" applyAlignment="1">
      <alignment horizontal="center" vertical="top" wrapText="1"/>
    </xf>
    <xf numFmtId="165" fontId="30" fillId="2" borderId="2" xfId="1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right" vertical="top"/>
    </xf>
    <xf numFmtId="0" fontId="36" fillId="2" borderId="1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top"/>
    </xf>
    <xf numFmtId="164" fontId="11" fillId="2" borderId="5" xfId="0" applyNumberFormat="1" applyFont="1" applyFill="1" applyBorder="1" applyAlignment="1">
      <alignment horizontal="center" vertical="top"/>
    </xf>
    <xf numFmtId="0" fontId="36" fillId="2" borderId="1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36" fillId="2" borderId="0" xfId="0" applyFont="1" applyFill="1" applyAlignment="1">
      <alignment horizontal="lef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5" fillId="2" borderId="5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164" fontId="11" fillId="2" borderId="5" xfId="0" applyNumberFormat="1" applyFont="1" applyFill="1" applyBorder="1" applyAlignment="1">
      <alignment horizontal="right" vertical="top" wrapText="1"/>
    </xf>
    <xf numFmtId="3" fontId="5" fillId="2" borderId="1" xfId="0" applyNumberFormat="1" applyFont="1" applyFill="1" applyBorder="1" applyAlignment="1">
      <alignment horizontal="center" vertical="top"/>
    </xf>
    <xf numFmtId="3" fontId="5" fillId="2" borderId="5" xfId="0" applyNumberFormat="1" applyFont="1" applyFill="1" applyBorder="1" applyAlignment="1">
      <alignment horizontal="center" vertical="top"/>
    </xf>
    <xf numFmtId="164" fontId="11" fillId="2" borderId="1" xfId="0" applyNumberFormat="1" applyFont="1" applyFill="1" applyBorder="1" applyAlignment="1">
      <alignment horizontal="center" vertical="top" wrapText="1"/>
    </xf>
    <xf numFmtId="164" fontId="11" fillId="2" borderId="5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left" vertical="top" wrapText="1"/>
    </xf>
    <xf numFmtId="165" fontId="5" fillId="2" borderId="5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center" vertical="top" wrapText="1"/>
    </xf>
    <xf numFmtId="3" fontId="5" fillId="2" borderId="7" xfId="0" applyNumberFormat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164" fontId="11" fillId="2" borderId="7" xfId="0" applyNumberFormat="1" applyFont="1" applyFill="1" applyBorder="1" applyAlignment="1">
      <alignment horizontal="center" vertical="top"/>
    </xf>
    <xf numFmtId="164" fontId="11" fillId="2" borderId="7" xfId="0" applyNumberFormat="1" applyFont="1" applyFill="1" applyBorder="1" applyAlignment="1">
      <alignment horizontal="right" vertical="top"/>
    </xf>
    <xf numFmtId="49" fontId="5" fillId="2" borderId="7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left" vertical="top" wrapText="1"/>
    </xf>
    <xf numFmtId="4" fontId="5" fillId="2" borderId="5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165" fontId="5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49" fontId="5" fillId="2" borderId="0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right"/>
    </xf>
    <xf numFmtId="2" fontId="11" fillId="2" borderId="11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top" wrapText="1"/>
    </xf>
    <xf numFmtId="49" fontId="18" fillId="2" borderId="8" xfId="0" applyNumberFormat="1" applyFont="1" applyFill="1" applyBorder="1" applyAlignment="1">
      <alignment horizontal="left" vertical="top" wrapText="1"/>
    </xf>
    <xf numFmtId="49" fontId="18" fillId="2" borderId="0" xfId="0" applyNumberFormat="1" applyFont="1" applyFill="1" applyAlignment="1">
      <alignment horizontal="left" vertical="top" wrapText="1"/>
    </xf>
    <xf numFmtId="0" fontId="14" fillId="2" borderId="0" xfId="0" applyFont="1" applyFill="1" applyAlignment="1">
      <alignment horizontal="center"/>
    </xf>
    <xf numFmtId="0" fontId="16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/>
    </xf>
    <xf numFmtId="0" fontId="42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right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/>
    </xf>
    <xf numFmtId="49" fontId="14" fillId="2" borderId="0" xfId="0" applyNumberFormat="1" applyFont="1" applyFill="1" applyAlignment="1">
      <alignment horizontal="left" wrapText="1"/>
    </xf>
    <xf numFmtId="164" fontId="28" fillId="2" borderId="1" xfId="1" applyNumberFormat="1" applyFont="1" applyFill="1" applyBorder="1" applyAlignment="1">
      <alignment horizontal="center" vertical="top" wrapText="1"/>
    </xf>
    <xf numFmtId="164" fontId="28" fillId="2" borderId="5" xfId="1" applyNumberFormat="1" applyFont="1" applyFill="1" applyBorder="1" applyAlignment="1">
      <alignment horizontal="center" vertical="top" wrapText="1"/>
    </xf>
    <xf numFmtId="0" fontId="28" fillId="2" borderId="1" xfId="1" applyFont="1" applyFill="1" applyBorder="1" applyAlignment="1">
      <alignment horizontal="center" vertical="top" wrapText="1"/>
    </xf>
    <xf numFmtId="0" fontId="28" fillId="2" borderId="5" xfId="1" applyFont="1" applyFill="1" applyBorder="1" applyAlignment="1">
      <alignment horizontal="center" vertical="top" wrapText="1"/>
    </xf>
    <xf numFmtId="164" fontId="28" fillId="2" borderId="2" xfId="1" applyNumberFormat="1" applyFont="1" applyFill="1" applyBorder="1" applyAlignment="1">
      <alignment horizontal="center" vertical="top" wrapText="1"/>
    </xf>
    <xf numFmtId="49" fontId="25" fillId="2" borderId="1" xfId="1" applyNumberFormat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horizontal="center" vertical="top" wrapText="1"/>
    </xf>
    <xf numFmtId="164" fontId="25" fillId="2" borderId="0" xfId="1" applyNumberFormat="1" applyFont="1" applyFill="1" applyBorder="1" applyAlignment="1">
      <alignment horizontal="center"/>
    </xf>
    <xf numFmtId="49" fontId="25" fillId="2" borderId="0" xfId="1" applyNumberFormat="1" applyFont="1" applyFill="1" applyBorder="1" applyAlignment="1">
      <alignment horizontal="center"/>
    </xf>
    <xf numFmtId="49" fontId="25" fillId="4" borderId="0" xfId="1" applyNumberFormat="1" applyFont="1" applyFill="1" applyBorder="1" applyAlignment="1">
      <alignment horizontal="center"/>
    </xf>
    <xf numFmtId="49" fontId="25" fillId="2" borderId="0" xfId="1" applyNumberFormat="1" applyFont="1" applyFill="1" applyBorder="1" applyAlignment="1">
      <alignment horizontal="center" wrapText="1"/>
    </xf>
    <xf numFmtId="49" fontId="25" fillId="2" borderId="7" xfId="1" applyNumberFormat="1" applyFont="1" applyFill="1" applyBorder="1" applyAlignment="1">
      <alignment horizontal="center" vertical="top" wrapText="1"/>
    </xf>
    <xf numFmtId="0" fontId="25" fillId="2" borderId="1" xfId="1" applyFont="1" applyFill="1" applyBorder="1" applyAlignment="1">
      <alignment horizontal="center" vertical="top" wrapText="1"/>
    </xf>
    <xf numFmtId="0" fontId="25" fillId="2" borderId="7" xfId="1" applyFont="1" applyFill="1" applyBorder="1" applyAlignment="1">
      <alignment horizontal="center" vertical="top" wrapText="1"/>
    </xf>
    <xf numFmtId="0" fontId="25" fillId="2" borderId="5" xfId="1" applyFont="1" applyFill="1" applyBorder="1" applyAlignment="1">
      <alignment horizontal="center" vertical="top" wrapText="1"/>
    </xf>
    <xf numFmtId="0" fontId="25" fillId="2" borderId="1" xfId="2" applyFont="1" applyFill="1" applyBorder="1" applyAlignment="1" applyProtection="1">
      <alignment horizontal="center" vertical="top" wrapText="1"/>
    </xf>
    <xf numFmtId="0" fontId="25" fillId="2" borderId="7" xfId="2" applyFont="1" applyFill="1" applyBorder="1" applyAlignment="1" applyProtection="1">
      <alignment horizontal="center" vertical="top" wrapText="1"/>
    </xf>
    <xf numFmtId="0" fontId="25" fillId="2" borderId="5" xfId="2" applyFont="1" applyFill="1" applyBorder="1" applyAlignment="1" applyProtection="1">
      <alignment horizontal="center" vertical="top" wrapText="1"/>
    </xf>
    <xf numFmtId="0" fontId="25" fillId="2" borderId="1" xfId="1" applyFont="1" applyFill="1" applyBorder="1" applyAlignment="1">
      <alignment horizontal="left" vertical="top" wrapText="1"/>
    </xf>
    <xf numFmtId="0" fontId="25" fillId="2" borderId="5" xfId="1" applyFont="1" applyFill="1" applyBorder="1" applyAlignment="1">
      <alignment horizontal="left" vertical="top" wrapText="1"/>
    </xf>
    <xf numFmtId="14" fontId="28" fillId="2" borderId="1" xfId="1" applyNumberFormat="1" applyFont="1" applyFill="1" applyBorder="1" applyAlignment="1">
      <alignment horizontal="center" vertical="top" wrapText="1"/>
    </xf>
    <xf numFmtId="14" fontId="28" fillId="2" borderId="5" xfId="1" applyNumberFormat="1" applyFont="1" applyFill="1" applyBorder="1" applyAlignment="1">
      <alignment horizontal="center" vertical="top" wrapText="1"/>
    </xf>
    <xf numFmtId="0" fontId="30" fillId="2" borderId="12" xfId="1" applyFont="1" applyFill="1" applyBorder="1" applyAlignment="1">
      <alignment horizontal="left" vertical="top" wrapText="1"/>
    </xf>
    <xf numFmtId="0" fontId="30" fillId="2" borderId="10" xfId="1" applyFont="1" applyFill="1" applyBorder="1" applyAlignment="1">
      <alignment horizontal="left" vertical="top" wrapText="1"/>
    </xf>
    <xf numFmtId="0" fontId="30" fillId="2" borderId="3" xfId="1" applyFont="1" applyFill="1" applyBorder="1" applyAlignment="1">
      <alignment horizontal="left" vertical="top" wrapText="1"/>
    </xf>
    <xf numFmtId="49" fontId="25" fillId="2" borderId="1" xfId="1" applyNumberFormat="1" applyFont="1" applyFill="1" applyBorder="1" applyAlignment="1">
      <alignment horizontal="center" vertical="top"/>
    </xf>
    <xf numFmtId="49" fontId="25" fillId="2" borderId="5" xfId="1" applyNumberFormat="1" applyFont="1" applyFill="1" applyBorder="1" applyAlignment="1">
      <alignment horizontal="center" vertical="top"/>
    </xf>
    <xf numFmtId="0" fontId="35" fillId="2" borderId="0" xfId="0" applyFont="1" applyFill="1" applyAlignment="1">
      <alignment horizontal="left"/>
    </xf>
    <xf numFmtId="164" fontId="25" fillId="2" borderId="2" xfId="1" applyNumberFormat="1" applyFont="1" applyFill="1" applyBorder="1" applyAlignment="1">
      <alignment horizontal="center" vertical="center" wrapText="1"/>
    </xf>
    <xf numFmtId="164" fontId="25" fillId="2" borderId="2" xfId="1" applyNumberFormat="1" applyFont="1" applyFill="1" applyBorder="1" applyAlignment="1">
      <alignment horizontal="center" vertical="center"/>
    </xf>
    <xf numFmtId="0" fontId="25" fillId="2" borderId="2" xfId="2" applyFont="1" applyFill="1" applyBorder="1" applyAlignment="1" applyProtection="1">
      <alignment horizontal="center" vertical="top" wrapText="1"/>
    </xf>
    <xf numFmtId="164" fontId="25" fillId="2" borderId="2" xfId="2" applyNumberFormat="1" applyFont="1" applyFill="1" applyBorder="1" applyAlignment="1" applyProtection="1">
      <alignment horizontal="center" vertical="top" wrapText="1"/>
    </xf>
    <xf numFmtId="164" fontId="25" fillId="4" borderId="2" xfId="2" applyNumberFormat="1" applyFont="1" applyFill="1" applyBorder="1" applyAlignment="1" applyProtection="1">
      <alignment horizontal="center" vertical="top" wrapText="1"/>
    </xf>
    <xf numFmtId="164" fontId="28" fillId="2" borderId="9" xfId="1" applyNumberFormat="1" applyFont="1" applyFill="1" applyBorder="1" applyAlignment="1">
      <alignment vertical="top" wrapText="1"/>
    </xf>
    <xf numFmtId="0" fontId="0" fillId="2" borderId="5" xfId="0" applyFill="1" applyBorder="1" applyAlignment="1">
      <alignment horizontal="center" vertical="top" wrapText="1"/>
    </xf>
    <xf numFmtId="49" fontId="25" fillId="2" borderId="2" xfId="1" applyNumberFormat="1" applyFont="1" applyFill="1" applyBorder="1" applyAlignment="1">
      <alignment horizontal="center" vertical="top" wrapText="1"/>
    </xf>
    <xf numFmtId="0" fontId="25" fillId="2" borderId="2" xfId="1" applyFont="1" applyFill="1" applyBorder="1" applyAlignment="1">
      <alignment horizontal="left" vertical="top" wrapText="1"/>
    </xf>
    <xf numFmtId="0" fontId="25" fillId="2" borderId="2" xfId="1" applyFont="1" applyFill="1" applyBorder="1" applyAlignment="1">
      <alignment horizontal="center" vertical="top" wrapText="1"/>
    </xf>
    <xf numFmtId="14" fontId="28" fillId="2" borderId="2" xfId="1" applyNumberFormat="1" applyFont="1" applyFill="1" applyBorder="1" applyAlignment="1">
      <alignment horizontal="center" vertical="top" wrapText="1"/>
    </xf>
    <xf numFmtId="164" fontId="28" fillId="2" borderId="7" xfId="1" applyNumberFormat="1" applyFont="1" applyFill="1" applyBorder="1" applyAlignment="1">
      <alignment horizontal="center" vertical="top" wrapText="1"/>
    </xf>
    <xf numFmtId="0" fontId="25" fillId="2" borderId="7" xfId="1" applyFont="1" applyFill="1" applyBorder="1" applyAlignment="1">
      <alignment horizontal="left" vertical="top" wrapText="1"/>
    </xf>
    <xf numFmtId="14" fontId="28" fillId="2" borderId="7" xfId="1" applyNumberFormat="1" applyFont="1" applyFill="1" applyBorder="1" applyAlignment="1">
      <alignment horizontal="center" vertical="top" wrapText="1"/>
    </xf>
    <xf numFmtId="4" fontId="28" fillId="2" borderId="1" xfId="1" applyNumberFormat="1" applyFont="1" applyFill="1" applyBorder="1" applyAlignment="1">
      <alignment horizontal="center" vertical="top" wrapText="1"/>
    </xf>
    <xf numFmtId="4" fontId="28" fillId="2" borderId="7" xfId="1" applyNumberFormat="1" applyFont="1" applyFill="1" applyBorder="1" applyAlignment="1">
      <alignment horizontal="center" vertical="top" wrapText="1"/>
    </xf>
    <xf numFmtId="4" fontId="28" fillId="2" borderId="5" xfId="1" applyNumberFormat="1" applyFont="1" applyFill="1" applyBorder="1" applyAlignment="1">
      <alignment horizontal="center" vertical="top" wrapText="1"/>
    </xf>
    <xf numFmtId="49" fontId="25" fillId="2" borderId="7" xfId="1" applyNumberFormat="1" applyFont="1" applyFill="1" applyBorder="1" applyAlignment="1">
      <alignment horizontal="left" vertical="top" wrapText="1"/>
    </xf>
    <xf numFmtId="49" fontId="25" fillId="2" borderId="5" xfId="1" applyNumberFormat="1" applyFont="1" applyFill="1" applyBorder="1" applyAlignment="1">
      <alignment horizontal="left" vertical="top" wrapText="1"/>
    </xf>
    <xf numFmtId="0" fontId="30" fillId="2" borderId="2" xfId="1" applyFont="1" applyFill="1" applyBorder="1" applyAlignment="1">
      <alignment horizontal="left" vertical="top" wrapText="1"/>
    </xf>
    <xf numFmtId="164" fontId="28" fillId="2" borderId="12" xfId="1" applyNumberFormat="1" applyFont="1" applyFill="1" applyBorder="1" applyAlignment="1">
      <alignment horizontal="center" vertical="top" wrapText="1"/>
    </xf>
    <xf numFmtId="164" fontId="28" fillId="2" borderId="11" xfId="1" applyNumberFormat="1" applyFont="1" applyFill="1" applyBorder="1" applyAlignment="1">
      <alignment horizontal="center" vertical="top" wrapText="1"/>
    </xf>
    <xf numFmtId="49" fontId="25" fillId="2" borderId="5" xfId="1" applyNumberFormat="1" applyFont="1" applyFill="1" applyBorder="1" applyAlignment="1">
      <alignment vertical="top" wrapText="1"/>
    </xf>
    <xf numFmtId="0" fontId="29" fillId="2" borderId="12" xfId="1" applyFont="1" applyFill="1" applyBorder="1" applyAlignment="1">
      <alignment horizontal="left" vertical="top" wrapText="1"/>
    </xf>
    <xf numFmtId="0" fontId="29" fillId="2" borderId="10" xfId="1" applyFont="1" applyFill="1" applyBorder="1" applyAlignment="1">
      <alignment horizontal="left" vertical="top" wrapText="1"/>
    </xf>
    <xf numFmtId="0" fontId="29" fillId="2" borderId="9" xfId="1" applyFont="1" applyFill="1" applyBorder="1" applyAlignment="1">
      <alignment horizontal="left" vertical="top" wrapText="1"/>
    </xf>
    <xf numFmtId="0" fontId="29" fillId="2" borderId="13" xfId="1" applyFont="1" applyFill="1" applyBorder="1" applyAlignment="1">
      <alignment horizontal="left" vertical="top" wrapText="1"/>
    </xf>
    <xf numFmtId="49" fontId="25" fillId="2" borderId="8" xfId="1" applyNumberFormat="1" applyFont="1" applyFill="1" applyBorder="1" applyAlignment="1">
      <alignment horizontal="left" vertical="top" wrapText="1"/>
    </xf>
    <xf numFmtId="49" fontId="25" fillId="4" borderId="8" xfId="1" applyNumberFormat="1" applyFont="1" applyFill="1" applyBorder="1" applyAlignment="1">
      <alignment horizontal="left" vertical="top" wrapText="1"/>
    </xf>
    <xf numFmtId="49" fontId="12" fillId="2" borderId="0" xfId="1" applyNumberFormat="1" applyFont="1" applyFill="1" applyBorder="1" applyAlignment="1">
      <alignment horizontal="left" wrapText="1"/>
    </xf>
    <xf numFmtId="0" fontId="25" fillId="2" borderId="1" xfId="1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164" fontId="30" fillId="2" borderId="1" xfId="1" applyNumberFormat="1" applyFont="1" applyFill="1" applyBorder="1" applyAlignment="1">
      <alignment horizontal="center" vertical="top" wrapText="1"/>
    </xf>
    <xf numFmtId="164" fontId="30" fillId="2" borderId="5" xfId="1" applyNumberFormat="1" applyFont="1" applyFill="1" applyBorder="1" applyAlignment="1">
      <alignment horizontal="center" vertical="top" wrapText="1"/>
    </xf>
    <xf numFmtId="164" fontId="25" fillId="2" borderId="1" xfId="1" applyNumberFormat="1" applyFont="1" applyFill="1" applyBorder="1" applyAlignment="1">
      <alignment horizontal="center" vertical="top" wrapText="1"/>
    </xf>
    <xf numFmtId="164" fontId="25" fillId="2" borderId="7" xfId="1" applyNumberFormat="1" applyFont="1" applyFill="1" applyBorder="1" applyAlignment="1">
      <alignment horizontal="center" vertical="top" wrapText="1"/>
    </xf>
    <xf numFmtId="164" fontId="25" fillId="2" borderId="5" xfId="1" applyNumberFormat="1" applyFont="1" applyFill="1" applyBorder="1" applyAlignment="1">
      <alignment horizontal="center" vertical="top" wrapText="1"/>
    </xf>
    <xf numFmtId="164" fontId="25" fillId="2" borderId="1" xfId="1" applyNumberFormat="1" applyFont="1" applyFill="1" applyBorder="1" applyAlignment="1">
      <alignment horizontal="left" vertical="top" wrapText="1"/>
    </xf>
    <xf numFmtId="164" fontId="25" fillId="2" borderId="7" xfId="1" applyNumberFormat="1" applyFont="1" applyFill="1" applyBorder="1" applyAlignment="1">
      <alignment horizontal="left" vertical="top" wrapText="1"/>
    </xf>
    <xf numFmtId="164" fontId="25" fillId="2" borderId="5" xfId="1" applyNumberFormat="1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right" vertical="top"/>
    </xf>
    <xf numFmtId="164" fontId="11" fillId="2" borderId="2" xfId="0" applyNumberFormat="1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3" fontId="5" fillId="2" borderId="2" xfId="0" applyNumberFormat="1" applyFont="1" applyFill="1" applyBorder="1" applyAlignment="1">
      <alignment horizontal="center" vertical="top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Medium9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296E051552D9B0DE54C4EEA366783458DCF3E2F270B1C5BE0EE0B1036681A6753D4434517D8E791EF555ABSAVC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65"/>
  <sheetViews>
    <sheetView tabSelected="1" view="pageBreakPreview" zoomScale="30" zoomScaleNormal="40" zoomScaleSheetLayoutView="30" workbookViewId="0">
      <pane xSplit="1" topLeftCell="B1" activePane="topRight" state="frozen"/>
      <selection activeCell="A7" sqref="A7"/>
      <selection pane="topRight" activeCell="B13" sqref="B13:B14"/>
    </sheetView>
  </sheetViews>
  <sheetFormatPr defaultColWidth="9.140625" defaultRowHeight="46.5" x14ac:dyDescent="0.25"/>
  <cols>
    <col min="1" max="1" width="27.140625" style="156" customWidth="1"/>
    <col min="2" max="2" width="81.140625" style="129" customWidth="1"/>
    <col min="3" max="3" width="43.85546875" style="129" customWidth="1"/>
    <col min="4" max="4" width="46" style="140" customWidth="1"/>
    <col min="5" max="5" width="43.140625" style="140" customWidth="1"/>
    <col min="6" max="6" width="16.85546875" style="126" customWidth="1"/>
    <col min="7" max="7" width="13.140625" style="126" customWidth="1"/>
    <col min="8" max="8" width="16" style="126" customWidth="1"/>
    <col min="9" max="9" width="45.5703125" style="140" customWidth="1"/>
    <col min="10" max="10" width="13.85546875" style="126" customWidth="1"/>
    <col min="11" max="11" width="49.85546875" style="140" customWidth="1"/>
    <col min="12" max="12" width="15.5703125" style="126" customWidth="1"/>
    <col min="13" max="13" width="21.7109375" style="126" customWidth="1"/>
    <col min="14" max="14" width="42.85546875" style="154" customWidth="1"/>
    <col min="15" max="15" width="15.28515625" style="154" customWidth="1"/>
    <col min="16" max="16" width="46.7109375" style="160" customWidth="1"/>
    <col min="17" max="17" width="14.85546875" style="126" customWidth="1"/>
    <col min="18" max="18" width="14.5703125" style="126" customWidth="1"/>
    <col min="19" max="19" width="14.140625" style="126" customWidth="1"/>
    <col min="20" max="20" width="48.7109375" style="140" customWidth="1"/>
    <col min="21" max="21" width="59.7109375" style="126" customWidth="1"/>
    <col min="22" max="22" width="12.42578125" style="126" customWidth="1"/>
    <col min="23" max="23" width="25.28515625" style="126" customWidth="1"/>
    <col min="24" max="24" width="32.5703125" style="215" customWidth="1"/>
    <col min="25" max="25" width="23.5703125" style="245" customWidth="1"/>
    <col min="26" max="26" width="35.5703125" style="127" customWidth="1"/>
    <col min="27" max="27" width="79.42578125" style="129" customWidth="1"/>
    <col min="28" max="28" width="20.28515625" style="206" customWidth="1"/>
    <col min="29" max="29" width="30.85546875" style="199" customWidth="1"/>
    <col min="30" max="30" width="37.140625" style="200" customWidth="1"/>
    <col min="31" max="31" width="61.7109375" style="200" customWidth="1"/>
    <col min="32" max="32" width="57.140625" style="199" customWidth="1"/>
    <col min="33" max="33" width="9.140625" style="126"/>
    <col min="34" max="34" width="42" style="126" customWidth="1"/>
    <col min="35" max="44" width="9.140625" style="126"/>
    <col min="45" max="45" width="53.85546875" style="126" bestFit="1" customWidth="1"/>
    <col min="46" max="16384" width="9.140625" style="126"/>
  </cols>
  <sheetData>
    <row r="1" spans="1:34" ht="61.5" x14ac:dyDescent="0.25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195"/>
      <c r="AC1" s="195"/>
    </row>
    <row r="2" spans="1:34" ht="61.5" x14ac:dyDescent="0.25">
      <c r="A2" s="308" t="s">
        <v>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195"/>
      <c r="AC2" s="195"/>
    </row>
    <row r="3" spans="1:34" ht="61.5" x14ac:dyDescent="0.25">
      <c r="A3" s="308" t="s">
        <v>2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195"/>
      <c r="AC3" s="195"/>
    </row>
    <row r="4" spans="1:34" ht="61.5" x14ac:dyDescent="0.25">
      <c r="A4" s="308" t="s">
        <v>3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195"/>
      <c r="AC4" s="195"/>
    </row>
    <row r="5" spans="1:34" ht="61.5" x14ac:dyDescent="0.25">
      <c r="A5" s="309" t="s">
        <v>429</v>
      </c>
      <c r="B5" s="309"/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204"/>
      <c r="AC5" s="195"/>
    </row>
    <row r="6" spans="1:34" ht="45.75" x14ac:dyDescent="0.25">
      <c r="A6" s="1"/>
      <c r="B6" s="2"/>
      <c r="C6" s="4"/>
      <c r="D6" s="133"/>
      <c r="E6" s="133"/>
      <c r="F6" s="3"/>
      <c r="G6" s="3"/>
      <c r="H6" s="3"/>
      <c r="I6" s="133"/>
      <c r="J6" s="3"/>
      <c r="K6" s="133"/>
      <c r="L6" s="3"/>
      <c r="M6" s="3"/>
      <c r="N6" s="3"/>
      <c r="O6" s="3"/>
      <c r="P6" s="133"/>
      <c r="Q6" s="3"/>
      <c r="R6" s="3"/>
      <c r="S6" s="3"/>
      <c r="T6" s="133"/>
      <c r="U6" s="4"/>
      <c r="V6" s="1"/>
      <c r="W6" s="1"/>
      <c r="X6" s="5"/>
      <c r="Y6" s="5"/>
      <c r="Z6" s="1"/>
      <c r="AA6" s="4"/>
      <c r="AB6" s="195"/>
      <c r="AC6" s="195"/>
    </row>
    <row r="7" spans="1:34" ht="86.25" customHeight="1" x14ac:dyDescent="0.25">
      <c r="A7" s="312" t="s">
        <v>4</v>
      </c>
      <c r="B7" s="314" t="s">
        <v>5</v>
      </c>
      <c r="C7" s="314" t="s">
        <v>6</v>
      </c>
      <c r="D7" s="315" t="s">
        <v>232</v>
      </c>
      <c r="E7" s="315"/>
      <c r="F7" s="315"/>
      <c r="G7" s="315"/>
      <c r="H7" s="315"/>
      <c r="I7" s="315" t="s">
        <v>7</v>
      </c>
      <c r="J7" s="315"/>
      <c r="K7" s="315"/>
      <c r="L7" s="315"/>
      <c r="M7" s="315"/>
      <c r="N7" s="315" t="s">
        <v>8</v>
      </c>
      <c r="O7" s="315"/>
      <c r="P7" s="315"/>
      <c r="Q7" s="315"/>
      <c r="R7" s="315"/>
      <c r="S7" s="315"/>
      <c r="T7" s="315" t="s">
        <v>230</v>
      </c>
      <c r="U7" s="312" t="s">
        <v>231</v>
      </c>
      <c r="V7" s="313" t="s">
        <v>9</v>
      </c>
      <c r="W7" s="313"/>
      <c r="X7" s="313"/>
      <c r="Y7" s="313"/>
      <c r="Z7" s="312" t="s">
        <v>10</v>
      </c>
      <c r="AA7" s="314" t="s">
        <v>11</v>
      </c>
      <c r="AB7" s="196"/>
      <c r="AC7" s="195"/>
    </row>
    <row r="8" spans="1:34" ht="282" x14ac:dyDescent="0.25">
      <c r="A8" s="312"/>
      <c r="B8" s="314"/>
      <c r="C8" s="314"/>
      <c r="D8" s="315"/>
      <c r="E8" s="315"/>
      <c r="F8" s="315"/>
      <c r="G8" s="315"/>
      <c r="H8" s="315"/>
      <c r="I8" s="315" t="s">
        <v>12</v>
      </c>
      <c r="J8" s="315"/>
      <c r="K8" s="315"/>
      <c r="L8" s="315"/>
      <c r="M8" s="212" t="s">
        <v>13</v>
      </c>
      <c r="N8" s="315"/>
      <c r="O8" s="315"/>
      <c r="P8" s="315"/>
      <c r="Q8" s="315"/>
      <c r="R8" s="315"/>
      <c r="S8" s="315"/>
      <c r="T8" s="315"/>
      <c r="U8" s="312"/>
      <c r="V8" s="313"/>
      <c r="W8" s="313"/>
      <c r="X8" s="313"/>
      <c r="Y8" s="313"/>
      <c r="Z8" s="312"/>
      <c r="AA8" s="314"/>
      <c r="AB8" s="196"/>
      <c r="AC8" s="195"/>
    </row>
    <row r="9" spans="1:34" ht="327" customHeight="1" x14ac:dyDescent="0.25">
      <c r="A9" s="312"/>
      <c r="B9" s="314"/>
      <c r="C9" s="314"/>
      <c r="D9" s="134" t="s">
        <v>14</v>
      </c>
      <c r="E9" s="134" t="s">
        <v>15</v>
      </c>
      <c r="F9" s="7" t="s">
        <v>16</v>
      </c>
      <c r="G9" s="6" t="s">
        <v>17</v>
      </c>
      <c r="H9" s="6" t="s">
        <v>18</v>
      </c>
      <c r="I9" s="134" t="s">
        <v>14</v>
      </c>
      <c r="J9" s="7" t="s">
        <v>14</v>
      </c>
      <c r="K9" s="134" t="s">
        <v>15</v>
      </c>
      <c r="L9" s="7" t="s">
        <v>15</v>
      </c>
      <c r="M9" s="6" t="s">
        <v>17</v>
      </c>
      <c r="N9" s="6" t="s">
        <v>14</v>
      </c>
      <c r="O9" s="7" t="s">
        <v>14</v>
      </c>
      <c r="P9" s="134" t="s">
        <v>15</v>
      </c>
      <c r="Q9" s="7" t="s">
        <v>15</v>
      </c>
      <c r="R9" s="6" t="s">
        <v>17</v>
      </c>
      <c r="S9" s="6" t="s">
        <v>18</v>
      </c>
      <c r="T9" s="315"/>
      <c r="U9" s="312"/>
      <c r="V9" s="8" t="s">
        <v>19</v>
      </c>
      <c r="W9" s="8" t="s">
        <v>20</v>
      </c>
      <c r="X9" s="8" t="s">
        <v>21</v>
      </c>
      <c r="Y9" s="8" t="s">
        <v>22</v>
      </c>
      <c r="Z9" s="312"/>
      <c r="AA9" s="314"/>
      <c r="AB9" s="196"/>
      <c r="AC9" s="196"/>
      <c r="AD9" s="202" t="s">
        <v>386</v>
      </c>
      <c r="AE9" s="202" t="s">
        <v>387</v>
      </c>
      <c r="AF9" s="203"/>
    </row>
    <row r="10" spans="1:34" ht="60.75" x14ac:dyDescent="0.25">
      <c r="A10" s="9">
        <v>1</v>
      </c>
      <c r="B10" s="128">
        <v>2</v>
      </c>
      <c r="C10" s="128">
        <v>3</v>
      </c>
      <c r="D10" s="135">
        <v>4</v>
      </c>
      <c r="E10" s="135">
        <v>5</v>
      </c>
      <c r="F10" s="9">
        <v>6</v>
      </c>
      <c r="G10" s="9">
        <v>7</v>
      </c>
      <c r="H10" s="9">
        <v>8</v>
      </c>
      <c r="I10" s="135">
        <v>9</v>
      </c>
      <c r="J10" s="9">
        <v>10</v>
      </c>
      <c r="K10" s="135">
        <v>11</v>
      </c>
      <c r="L10" s="9">
        <v>12</v>
      </c>
      <c r="M10" s="9">
        <v>13</v>
      </c>
      <c r="N10" s="115">
        <v>14</v>
      </c>
      <c r="O10" s="115">
        <v>15</v>
      </c>
      <c r="P10" s="165">
        <v>16</v>
      </c>
      <c r="Q10" s="9">
        <v>17</v>
      </c>
      <c r="R10" s="9">
        <v>18</v>
      </c>
      <c r="S10" s="9">
        <v>19</v>
      </c>
      <c r="T10" s="135">
        <v>20</v>
      </c>
      <c r="U10" s="9">
        <v>21</v>
      </c>
      <c r="V10" s="9">
        <v>22</v>
      </c>
      <c r="W10" s="9">
        <v>23</v>
      </c>
      <c r="X10" s="9">
        <v>24</v>
      </c>
      <c r="Y10" s="9">
        <v>25</v>
      </c>
      <c r="Z10" s="9">
        <v>26</v>
      </c>
      <c r="AA10" s="128">
        <v>27</v>
      </c>
      <c r="AB10" s="197"/>
      <c r="AC10" s="197"/>
      <c r="AD10" s="194"/>
      <c r="AE10" s="194"/>
      <c r="AF10" s="194"/>
    </row>
    <row r="11" spans="1:34" ht="103.5" x14ac:dyDescent="0.25">
      <c r="A11" s="10"/>
      <c r="B11" s="11" t="s">
        <v>23</v>
      </c>
      <c r="C11" s="131"/>
      <c r="D11" s="136">
        <f>D13+D15+D65+D85</f>
        <v>26096390.100000001</v>
      </c>
      <c r="E11" s="136">
        <f>E13+E15+E65+E85</f>
        <v>42288113.799999997</v>
      </c>
      <c r="F11" s="12">
        <f>F12+F15+F65+F85</f>
        <v>0</v>
      </c>
      <c r="G11" s="12">
        <f>G12+G15+G65+G85</f>
        <v>0</v>
      </c>
      <c r="H11" s="12">
        <f>H12+H15+H65+H85</f>
        <v>0</v>
      </c>
      <c r="I11" s="136">
        <f>I12+I15+I65+I85</f>
        <v>28734218.100000001</v>
      </c>
      <c r="J11" s="12">
        <f>J12+J15+J65+J85</f>
        <v>0</v>
      </c>
      <c r="K11" s="136">
        <f>K13+K15+K65+K85</f>
        <v>42288113.800000004</v>
      </c>
      <c r="L11" s="12">
        <f>L12+L15+L65+L85</f>
        <v>0</v>
      </c>
      <c r="M11" s="12">
        <f>M12+M15+M65+M85</f>
        <v>0</v>
      </c>
      <c r="N11" s="12">
        <f>N12+N15+N65+N85</f>
        <v>14115475.699999999</v>
      </c>
      <c r="O11" s="12">
        <f>O12+O15+O65+O85</f>
        <v>0</v>
      </c>
      <c r="P11" s="136">
        <f>P13+P15+P65+P85</f>
        <v>20952203.530000001</v>
      </c>
      <c r="Q11" s="12">
        <f>Q12+Q15+Q65+Q85</f>
        <v>0</v>
      </c>
      <c r="R11" s="12">
        <f>R12+R15+R65+R85</f>
        <v>0</v>
      </c>
      <c r="S11" s="12">
        <f>S12+S15+S65+S85</f>
        <v>0</v>
      </c>
      <c r="T11" s="136">
        <f>T13+T15+T65+T85</f>
        <v>863257.10000000009</v>
      </c>
      <c r="U11" s="16" t="s">
        <v>24</v>
      </c>
      <c r="V11" s="275" t="s">
        <v>24</v>
      </c>
      <c r="W11" s="275" t="s">
        <v>24</v>
      </c>
      <c r="X11" s="275" t="s">
        <v>24</v>
      </c>
      <c r="Y11" s="275" t="s">
        <v>24</v>
      </c>
      <c r="Z11" s="275" t="s">
        <v>24</v>
      </c>
      <c r="AA11" s="277" t="s">
        <v>24</v>
      </c>
      <c r="AB11" s="195"/>
      <c r="AC11" s="192"/>
      <c r="AD11" s="201">
        <f t="shared" ref="AD11:AE11" si="0">AD13+AD15+AD65+AD85</f>
        <v>566133.9</v>
      </c>
      <c r="AE11" s="201">
        <f t="shared" si="0"/>
        <v>0</v>
      </c>
      <c r="AF11" s="193"/>
    </row>
    <row r="12" spans="1:34" ht="160.5" customHeight="1" x14ac:dyDescent="0.25">
      <c r="A12" s="110"/>
      <c r="B12" s="11" t="s">
        <v>25</v>
      </c>
      <c r="C12" s="132"/>
      <c r="D12" s="137"/>
      <c r="E12" s="137"/>
      <c r="F12" s="111"/>
      <c r="G12" s="111"/>
      <c r="H12" s="111"/>
      <c r="I12" s="137"/>
      <c r="J12" s="111"/>
      <c r="K12" s="137"/>
      <c r="L12" s="111"/>
      <c r="M12" s="111"/>
      <c r="N12" s="111"/>
      <c r="O12" s="111"/>
      <c r="P12" s="137"/>
      <c r="Q12" s="111"/>
      <c r="R12" s="111"/>
      <c r="S12" s="111"/>
      <c r="T12" s="137"/>
      <c r="U12" s="110"/>
      <c r="V12" s="276"/>
      <c r="W12" s="276"/>
      <c r="X12" s="276"/>
      <c r="Y12" s="276"/>
      <c r="Z12" s="276"/>
      <c r="AA12" s="278"/>
      <c r="AB12" s="195"/>
      <c r="AC12" s="198"/>
      <c r="AD12" s="193"/>
      <c r="AE12" s="193"/>
      <c r="AF12" s="193"/>
    </row>
    <row r="13" spans="1:34" ht="408" customHeight="1" x14ac:dyDescent="0.25">
      <c r="A13" s="275" t="s">
        <v>26</v>
      </c>
      <c r="B13" s="289" t="s">
        <v>384</v>
      </c>
      <c r="C13" s="299" t="s">
        <v>27</v>
      </c>
      <c r="D13" s="267">
        <v>0</v>
      </c>
      <c r="E13" s="293">
        <v>989759.7</v>
      </c>
      <c r="F13" s="271">
        <v>0</v>
      </c>
      <c r="G13" s="271">
        <v>0</v>
      </c>
      <c r="H13" s="271">
        <v>0</v>
      </c>
      <c r="I13" s="267">
        <v>0</v>
      </c>
      <c r="J13" s="271">
        <v>0</v>
      </c>
      <c r="K13" s="267">
        <v>989759.7</v>
      </c>
      <c r="L13" s="271">
        <v>0</v>
      </c>
      <c r="M13" s="271">
        <v>0</v>
      </c>
      <c r="N13" s="271">
        <v>0</v>
      </c>
      <c r="O13" s="271">
        <v>0</v>
      </c>
      <c r="P13" s="267">
        <v>690491</v>
      </c>
      <c r="Q13" s="271">
        <v>0</v>
      </c>
      <c r="R13" s="271">
        <v>0</v>
      </c>
      <c r="S13" s="271">
        <v>0</v>
      </c>
      <c r="T13" s="267">
        <v>48293.599999999999</v>
      </c>
      <c r="U13" s="310"/>
      <c r="V13" s="275" t="s">
        <v>24</v>
      </c>
      <c r="W13" s="275" t="s">
        <v>24</v>
      </c>
      <c r="X13" s="275" t="s">
        <v>24</v>
      </c>
      <c r="Y13" s="275" t="s">
        <v>24</v>
      </c>
      <c r="Z13" s="275" t="s">
        <v>24</v>
      </c>
      <c r="AA13" s="281" t="s">
        <v>24</v>
      </c>
      <c r="AB13" s="195"/>
      <c r="AC13" s="198"/>
      <c r="AD13" s="279">
        <v>566133.9</v>
      </c>
      <c r="AE13" s="193"/>
      <c r="AF13" s="193"/>
    </row>
    <row r="14" spans="1:34" ht="219" hidden="1" customHeight="1" x14ac:dyDescent="0.25">
      <c r="A14" s="276"/>
      <c r="B14" s="290"/>
      <c r="C14" s="300"/>
      <c r="D14" s="268"/>
      <c r="E14" s="294"/>
      <c r="F14" s="272"/>
      <c r="G14" s="272"/>
      <c r="H14" s="272"/>
      <c r="I14" s="268"/>
      <c r="J14" s="272"/>
      <c r="K14" s="268"/>
      <c r="L14" s="272"/>
      <c r="M14" s="272"/>
      <c r="N14" s="272"/>
      <c r="O14" s="272"/>
      <c r="P14" s="268"/>
      <c r="Q14" s="272"/>
      <c r="R14" s="272"/>
      <c r="S14" s="272"/>
      <c r="T14" s="268"/>
      <c r="U14" s="311"/>
      <c r="V14" s="276"/>
      <c r="W14" s="276"/>
      <c r="X14" s="276"/>
      <c r="Y14" s="276"/>
      <c r="Z14" s="276"/>
      <c r="AA14" s="278"/>
      <c r="AB14" s="195"/>
      <c r="AC14" s="198">
        <f>P14-K14</f>
        <v>0</v>
      </c>
      <c r="AD14" s="280"/>
      <c r="AE14" s="193"/>
      <c r="AF14" s="193"/>
    </row>
    <row r="15" spans="1:34" ht="172.5" x14ac:dyDescent="0.6">
      <c r="A15" s="15" t="s">
        <v>28</v>
      </c>
      <c r="B15" s="11" t="s">
        <v>29</v>
      </c>
      <c r="C15" s="131"/>
      <c r="D15" s="136">
        <f>SUM(D16:D64)</f>
        <v>5302918.4000000004</v>
      </c>
      <c r="E15" s="136">
        <f>SUM(E16:E41)+SUM(E43:E64)</f>
        <v>11602128.800000001</v>
      </c>
      <c r="F15" s="136">
        <f t="shared" ref="F15:S15" si="1">SUM(F16:F64)</f>
        <v>0</v>
      </c>
      <c r="G15" s="136">
        <f t="shared" si="1"/>
        <v>0</v>
      </c>
      <c r="H15" s="136">
        <f t="shared" si="1"/>
        <v>0</v>
      </c>
      <c r="I15" s="136">
        <f t="shared" si="1"/>
        <v>5302918.4000000004</v>
      </c>
      <c r="J15" s="136">
        <f t="shared" si="1"/>
        <v>0</v>
      </c>
      <c r="K15" s="136">
        <f>SUM(K16:K41)+SUM(K43:K64)</f>
        <v>10769130.4</v>
      </c>
      <c r="L15" s="136">
        <f t="shared" si="1"/>
        <v>0</v>
      </c>
      <c r="M15" s="136">
        <f t="shared" si="1"/>
        <v>0</v>
      </c>
      <c r="N15" s="136">
        <f>SUM(N16:N64)</f>
        <v>2432982.7000000002</v>
      </c>
      <c r="O15" s="136">
        <f t="shared" si="1"/>
        <v>0</v>
      </c>
      <c r="P15" s="136">
        <f>SUM(P16:P64)</f>
        <v>5775438.9999999991</v>
      </c>
      <c r="Q15" s="136">
        <f t="shared" si="1"/>
        <v>0</v>
      </c>
      <c r="R15" s="136">
        <f t="shared" si="1"/>
        <v>0</v>
      </c>
      <c r="S15" s="136">
        <f t="shared" si="1"/>
        <v>0</v>
      </c>
      <c r="T15" s="136">
        <f>SUM(T16:T64)</f>
        <v>90223.499999999985</v>
      </c>
      <c r="U15" s="16" t="s">
        <v>24</v>
      </c>
      <c r="V15" s="16" t="s">
        <v>24</v>
      </c>
      <c r="W15" s="16" t="s">
        <v>24</v>
      </c>
      <c r="X15" s="16" t="s">
        <v>24</v>
      </c>
      <c r="Y15" s="16" t="s">
        <v>24</v>
      </c>
      <c r="Z15" s="16" t="s">
        <v>24</v>
      </c>
      <c r="AA15" s="17" t="s">
        <v>24</v>
      </c>
      <c r="AB15" s="205">
        <f>P15/K15*100</f>
        <v>53.629576256222123</v>
      </c>
      <c r="AC15" s="198"/>
      <c r="AD15" s="193"/>
      <c r="AE15" s="193"/>
      <c r="AF15" s="193"/>
      <c r="AH15" s="14"/>
    </row>
    <row r="16" spans="1:34" ht="402.75" customHeight="1" x14ac:dyDescent="0.25">
      <c r="A16" s="291" t="s">
        <v>26</v>
      </c>
      <c r="B16" s="289" t="s">
        <v>294</v>
      </c>
      <c r="C16" s="289" t="s">
        <v>27</v>
      </c>
      <c r="D16" s="267">
        <v>0</v>
      </c>
      <c r="E16" s="267">
        <v>396515.6</v>
      </c>
      <c r="F16" s="297">
        <v>0</v>
      </c>
      <c r="G16" s="271">
        <v>0</v>
      </c>
      <c r="H16" s="271">
        <v>0</v>
      </c>
      <c r="I16" s="267">
        <v>0</v>
      </c>
      <c r="J16" s="271">
        <v>0</v>
      </c>
      <c r="K16" s="267">
        <v>396515.6</v>
      </c>
      <c r="L16" s="271">
        <v>0</v>
      </c>
      <c r="M16" s="271">
        <v>0</v>
      </c>
      <c r="N16" s="271">
        <v>0</v>
      </c>
      <c r="O16" s="271">
        <v>0</v>
      </c>
      <c r="P16" s="267">
        <v>211721.5</v>
      </c>
      <c r="Q16" s="271">
        <v>0</v>
      </c>
      <c r="R16" s="271">
        <v>0</v>
      </c>
      <c r="S16" s="271">
        <v>0</v>
      </c>
      <c r="T16" s="267">
        <v>2454.6999999999998</v>
      </c>
      <c r="U16" s="285"/>
      <c r="V16" s="275"/>
      <c r="W16" s="287" t="s">
        <v>30</v>
      </c>
      <c r="X16" s="295">
        <v>2089</v>
      </c>
      <c r="Y16" s="295">
        <v>2271</v>
      </c>
      <c r="Z16" s="287" t="s">
        <v>31</v>
      </c>
      <c r="AA16" s="285"/>
      <c r="AB16" s="205">
        <f t="shared" ref="AB16:AB79" si="2">P16/K16*100</f>
        <v>53.395503228624555</v>
      </c>
      <c r="AC16" s="198">
        <f>Y16/X16*100</f>
        <v>108.71230253709909</v>
      </c>
      <c r="AD16" s="267">
        <v>103354.1</v>
      </c>
      <c r="AE16" s="193"/>
      <c r="AF16" s="193"/>
    </row>
    <row r="17" spans="1:45" ht="120.75" hidden="1" customHeight="1" x14ac:dyDescent="0.25">
      <c r="A17" s="292"/>
      <c r="B17" s="290"/>
      <c r="C17" s="290"/>
      <c r="D17" s="268"/>
      <c r="E17" s="268"/>
      <c r="F17" s="298"/>
      <c r="G17" s="272"/>
      <c r="H17" s="272"/>
      <c r="I17" s="268"/>
      <c r="J17" s="272"/>
      <c r="K17" s="268"/>
      <c r="L17" s="272"/>
      <c r="M17" s="272"/>
      <c r="N17" s="272"/>
      <c r="O17" s="272"/>
      <c r="P17" s="268"/>
      <c r="Q17" s="272"/>
      <c r="R17" s="272"/>
      <c r="S17" s="272"/>
      <c r="T17" s="268"/>
      <c r="U17" s="286"/>
      <c r="V17" s="276"/>
      <c r="W17" s="288"/>
      <c r="X17" s="296"/>
      <c r="Y17" s="296"/>
      <c r="Z17" s="288"/>
      <c r="AA17" s="286"/>
      <c r="AB17" s="205" t="e">
        <f t="shared" si="2"/>
        <v>#DIV/0!</v>
      </c>
      <c r="AC17" s="198" t="e">
        <f t="shared" ref="AC17:AC80" si="3">Y17/X17*100</f>
        <v>#DIV/0!</v>
      </c>
      <c r="AD17" s="268"/>
      <c r="AE17" s="193"/>
      <c r="AF17" s="193"/>
    </row>
    <row r="18" spans="1:45" ht="404.25" customHeight="1" x14ac:dyDescent="0.25">
      <c r="A18" s="291" t="s">
        <v>32</v>
      </c>
      <c r="B18" s="289" t="s">
        <v>295</v>
      </c>
      <c r="C18" s="289" t="s">
        <v>27</v>
      </c>
      <c r="D18" s="267">
        <v>0</v>
      </c>
      <c r="E18" s="293">
        <v>4910.2</v>
      </c>
      <c r="F18" s="271">
        <v>0</v>
      </c>
      <c r="G18" s="271">
        <v>0</v>
      </c>
      <c r="H18" s="271">
        <v>0</v>
      </c>
      <c r="I18" s="267">
        <v>0</v>
      </c>
      <c r="J18" s="271">
        <v>0</v>
      </c>
      <c r="K18" s="267">
        <v>4910.2</v>
      </c>
      <c r="L18" s="271">
        <v>0</v>
      </c>
      <c r="M18" s="271">
        <v>0</v>
      </c>
      <c r="N18" s="271">
        <v>0</v>
      </c>
      <c r="O18" s="271">
        <v>0</v>
      </c>
      <c r="P18" s="267">
        <v>1816.3</v>
      </c>
      <c r="Q18" s="271">
        <v>0</v>
      </c>
      <c r="R18" s="271">
        <v>0</v>
      </c>
      <c r="S18" s="271">
        <v>0</v>
      </c>
      <c r="T18" s="267">
        <v>25.2</v>
      </c>
      <c r="U18" s="285"/>
      <c r="V18" s="275"/>
      <c r="W18" s="287" t="s">
        <v>30</v>
      </c>
      <c r="X18" s="275">
        <v>20</v>
      </c>
      <c r="Y18" s="275">
        <v>14</v>
      </c>
      <c r="Z18" s="287" t="s">
        <v>233</v>
      </c>
      <c r="AA18" s="285" t="s">
        <v>281</v>
      </c>
      <c r="AB18" s="205">
        <f t="shared" si="2"/>
        <v>36.990346625392043</v>
      </c>
      <c r="AC18" s="198">
        <f t="shared" si="3"/>
        <v>70</v>
      </c>
      <c r="AD18" s="267">
        <v>925.9</v>
      </c>
      <c r="AE18" s="193"/>
      <c r="AF18" s="193"/>
    </row>
    <row r="19" spans="1:45" ht="0.75" hidden="1" customHeight="1" x14ac:dyDescent="0.25">
      <c r="A19" s="292"/>
      <c r="B19" s="290"/>
      <c r="C19" s="290"/>
      <c r="D19" s="268"/>
      <c r="E19" s="294"/>
      <c r="F19" s="272"/>
      <c r="G19" s="272"/>
      <c r="H19" s="272"/>
      <c r="I19" s="268"/>
      <c r="J19" s="272"/>
      <c r="K19" s="268"/>
      <c r="L19" s="272"/>
      <c r="M19" s="272"/>
      <c r="N19" s="272"/>
      <c r="O19" s="272"/>
      <c r="P19" s="268"/>
      <c r="Q19" s="272"/>
      <c r="R19" s="272"/>
      <c r="S19" s="272"/>
      <c r="T19" s="268"/>
      <c r="U19" s="286"/>
      <c r="V19" s="276"/>
      <c r="W19" s="288"/>
      <c r="X19" s="276"/>
      <c r="Y19" s="276"/>
      <c r="Z19" s="288"/>
      <c r="AA19" s="286"/>
      <c r="AB19" s="205" t="e">
        <f t="shared" si="2"/>
        <v>#DIV/0!</v>
      </c>
      <c r="AC19" s="198" t="e">
        <f t="shared" si="3"/>
        <v>#DIV/0!</v>
      </c>
      <c r="AD19" s="268"/>
      <c r="AE19" s="193"/>
      <c r="AF19" s="193"/>
    </row>
    <row r="20" spans="1:45" ht="211.5" x14ac:dyDescent="0.25">
      <c r="A20" s="112" t="s">
        <v>33</v>
      </c>
      <c r="B20" s="211" t="s">
        <v>296</v>
      </c>
      <c r="C20" s="211" t="s">
        <v>27</v>
      </c>
      <c r="D20" s="137">
        <v>0</v>
      </c>
      <c r="E20" s="137">
        <v>24383.200000000001</v>
      </c>
      <c r="F20" s="111">
        <v>0</v>
      </c>
      <c r="G20" s="111">
        <v>0</v>
      </c>
      <c r="H20" s="111">
        <v>0</v>
      </c>
      <c r="I20" s="137">
        <v>0</v>
      </c>
      <c r="J20" s="111">
        <v>0</v>
      </c>
      <c r="K20" s="137">
        <v>24383.200000000001</v>
      </c>
      <c r="L20" s="111">
        <v>0</v>
      </c>
      <c r="M20" s="111">
        <v>0</v>
      </c>
      <c r="N20" s="111">
        <v>0</v>
      </c>
      <c r="O20" s="111">
        <v>0</v>
      </c>
      <c r="P20" s="137">
        <v>11917.3</v>
      </c>
      <c r="Q20" s="111">
        <v>0</v>
      </c>
      <c r="R20" s="111">
        <v>0</v>
      </c>
      <c r="S20" s="111">
        <v>0</v>
      </c>
      <c r="T20" s="137">
        <v>157.5</v>
      </c>
      <c r="U20" s="108"/>
      <c r="V20" s="18"/>
      <c r="W20" s="210" t="s">
        <v>30</v>
      </c>
      <c r="X20" s="110">
        <v>83</v>
      </c>
      <c r="Y20" s="110">
        <v>84</v>
      </c>
      <c r="Z20" s="210" t="s">
        <v>233</v>
      </c>
      <c r="AA20" s="116"/>
      <c r="AB20" s="205">
        <f t="shared" si="2"/>
        <v>48.875045113028634</v>
      </c>
      <c r="AC20" s="198">
        <f t="shared" si="3"/>
        <v>101.20481927710843</v>
      </c>
      <c r="AD20" s="137">
        <v>5829.1</v>
      </c>
      <c r="AE20" s="193"/>
      <c r="AF20" s="193"/>
    </row>
    <row r="21" spans="1:45" ht="401.25" customHeight="1" x14ac:dyDescent="0.25">
      <c r="A21" s="400" t="s">
        <v>34</v>
      </c>
      <c r="B21" s="314" t="s">
        <v>297</v>
      </c>
      <c r="C21" s="314" t="s">
        <v>27</v>
      </c>
      <c r="D21" s="401">
        <v>0</v>
      </c>
      <c r="E21" s="401">
        <v>16537.2</v>
      </c>
      <c r="F21" s="402">
        <v>0</v>
      </c>
      <c r="G21" s="402">
        <v>0</v>
      </c>
      <c r="H21" s="402">
        <v>0</v>
      </c>
      <c r="I21" s="401">
        <v>0</v>
      </c>
      <c r="J21" s="402">
        <v>0</v>
      </c>
      <c r="K21" s="401">
        <v>19037.2</v>
      </c>
      <c r="L21" s="402">
        <v>0</v>
      </c>
      <c r="M21" s="402">
        <v>0</v>
      </c>
      <c r="N21" s="402">
        <v>0</v>
      </c>
      <c r="O21" s="402">
        <v>0</v>
      </c>
      <c r="P21" s="401">
        <v>18760.3</v>
      </c>
      <c r="Q21" s="402">
        <v>0</v>
      </c>
      <c r="R21" s="402">
        <v>0</v>
      </c>
      <c r="S21" s="402">
        <v>0</v>
      </c>
      <c r="T21" s="401">
        <v>276.89999999999998</v>
      </c>
      <c r="U21" s="403"/>
      <c r="V21" s="404"/>
      <c r="W21" s="312" t="s">
        <v>30</v>
      </c>
      <c r="X21" s="405">
        <v>8274</v>
      </c>
      <c r="Y21" s="405" t="s">
        <v>392</v>
      </c>
      <c r="Z21" s="263" t="s">
        <v>233</v>
      </c>
      <c r="AA21" s="403" t="s">
        <v>286</v>
      </c>
      <c r="AB21" s="205">
        <f t="shared" si="2"/>
        <v>98.545479377219337</v>
      </c>
      <c r="AC21" s="198" t="e">
        <f t="shared" si="3"/>
        <v>#VALUE!</v>
      </c>
      <c r="AD21" s="267">
        <v>13</v>
      </c>
      <c r="AE21" s="193"/>
      <c r="AF21" s="193"/>
    </row>
    <row r="22" spans="1:45" ht="161.25" hidden="1" customHeight="1" x14ac:dyDescent="0.25">
      <c r="A22" s="400"/>
      <c r="B22" s="314"/>
      <c r="C22" s="314"/>
      <c r="D22" s="401"/>
      <c r="E22" s="401"/>
      <c r="F22" s="402"/>
      <c r="G22" s="402"/>
      <c r="H22" s="402"/>
      <c r="I22" s="401"/>
      <c r="J22" s="402"/>
      <c r="K22" s="401"/>
      <c r="L22" s="402"/>
      <c r="M22" s="402"/>
      <c r="N22" s="402"/>
      <c r="O22" s="402"/>
      <c r="P22" s="401"/>
      <c r="Q22" s="402"/>
      <c r="R22" s="402"/>
      <c r="S22" s="402"/>
      <c r="T22" s="401"/>
      <c r="U22" s="403"/>
      <c r="V22" s="404"/>
      <c r="W22" s="312"/>
      <c r="X22" s="405"/>
      <c r="Y22" s="405"/>
      <c r="Z22" s="263" t="s">
        <v>233</v>
      </c>
      <c r="AA22" s="403"/>
      <c r="AB22" s="205" t="e">
        <f t="shared" si="2"/>
        <v>#DIV/0!</v>
      </c>
      <c r="AC22" s="198" t="e">
        <f t="shared" si="3"/>
        <v>#DIV/0!</v>
      </c>
      <c r="AD22" s="268"/>
      <c r="AE22" s="193"/>
      <c r="AF22" s="193"/>
    </row>
    <row r="23" spans="1:45" ht="384" customHeight="1" x14ac:dyDescent="0.25">
      <c r="A23" s="112" t="s">
        <v>35</v>
      </c>
      <c r="B23" s="264" t="s">
        <v>298</v>
      </c>
      <c r="C23" s="264" t="s">
        <v>27</v>
      </c>
      <c r="D23" s="137">
        <v>154663.79999999999</v>
      </c>
      <c r="E23" s="137">
        <v>0</v>
      </c>
      <c r="F23" s="111">
        <v>0</v>
      </c>
      <c r="G23" s="111">
        <v>0</v>
      </c>
      <c r="H23" s="111">
        <v>0</v>
      </c>
      <c r="I23" s="137">
        <v>154663.79999999999</v>
      </c>
      <c r="J23" s="111">
        <v>0</v>
      </c>
      <c r="K23" s="137">
        <v>0</v>
      </c>
      <c r="L23" s="111">
        <v>0</v>
      </c>
      <c r="M23" s="111">
        <v>0</v>
      </c>
      <c r="N23" s="111">
        <v>76398.8</v>
      </c>
      <c r="O23" s="111">
        <v>0</v>
      </c>
      <c r="P23" s="137">
        <v>0</v>
      </c>
      <c r="Q23" s="111">
        <v>0</v>
      </c>
      <c r="R23" s="111">
        <v>0</v>
      </c>
      <c r="S23" s="111">
        <v>0</v>
      </c>
      <c r="T23" s="137">
        <v>23.9</v>
      </c>
      <c r="U23" s="116"/>
      <c r="V23" s="110"/>
      <c r="W23" s="263" t="s">
        <v>30</v>
      </c>
      <c r="X23" s="115">
        <v>9054</v>
      </c>
      <c r="Y23" s="115">
        <v>8324</v>
      </c>
      <c r="Z23" s="263" t="s">
        <v>233</v>
      </c>
      <c r="AA23" s="116" t="s">
        <v>281</v>
      </c>
      <c r="AB23" s="205">
        <f>N23/I23*100</f>
        <v>49.396691404194137</v>
      </c>
      <c r="AC23" s="198">
        <f t="shared" si="3"/>
        <v>91.937265297106251</v>
      </c>
      <c r="AD23" s="111">
        <v>44501.5</v>
      </c>
      <c r="AE23" s="193"/>
      <c r="AF23" s="193"/>
    </row>
    <row r="24" spans="1:45" ht="246.75" x14ac:dyDescent="0.25">
      <c r="A24" s="210" t="s">
        <v>36</v>
      </c>
      <c r="B24" s="211" t="s">
        <v>299</v>
      </c>
      <c r="C24" s="211" t="s">
        <v>27</v>
      </c>
      <c r="D24" s="137">
        <v>211.3</v>
      </c>
      <c r="E24" s="138">
        <v>0</v>
      </c>
      <c r="F24" s="111">
        <v>0</v>
      </c>
      <c r="G24" s="111">
        <v>0</v>
      </c>
      <c r="H24" s="111">
        <v>0</v>
      </c>
      <c r="I24" s="137">
        <v>211.3</v>
      </c>
      <c r="J24" s="111">
        <v>0</v>
      </c>
      <c r="K24" s="137">
        <v>0</v>
      </c>
      <c r="L24" s="111">
        <v>0</v>
      </c>
      <c r="M24" s="111">
        <v>0</v>
      </c>
      <c r="N24" s="111">
        <v>68.5</v>
      </c>
      <c r="O24" s="111">
        <v>0</v>
      </c>
      <c r="P24" s="137">
        <v>0</v>
      </c>
      <c r="Q24" s="111">
        <v>0</v>
      </c>
      <c r="R24" s="111">
        <v>0</v>
      </c>
      <c r="S24" s="111">
        <v>0</v>
      </c>
      <c r="T24" s="137">
        <v>0</v>
      </c>
      <c r="U24" s="116"/>
      <c r="V24" s="110"/>
      <c r="W24" s="210" t="s">
        <v>30</v>
      </c>
      <c r="X24" s="110">
        <v>7</v>
      </c>
      <c r="Y24" s="110">
        <v>8</v>
      </c>
      <c r="Z24" s="210" t="s">
        <v>31</v>
      </c>
      <c r="AA24" s="116"/>
      <c r="AB24" s="205" t="e">
        <f t="shared" si="2"/>
        <v>#DIV/0!</v>
      </c>
      <c r="AC24" s="198">
        <f t="shared" si="3"/>
        <v>114.28571428571428</v>
      </c>
      <c r="AD24" s="111">
        <v>31.4</v>
      </c>
      <c r="AE24" s="193"/>
      <c r="AF24" s="193"/>
    </row>
    <row r="25" spans="1:45" ht="408.75" customHeight="1" x14ac:dyDescent="0.9">
      <c r="A25" s="287" t="s">
        <v>37</v>
      </c>
      <c r="B25" s="289" t="s">
        <v>300</v>
      </c>
      <c r="C25" s="289" t="s">
        <v>27</v>
      </c>
      <c r="D25" s="293">
        <v>0</v>
      </c>
      <c r="E25" s="293">
        <v>2667232.2000000002</v>
      </c>
      <c r="F25" s="271">
        <v>0</v>
      </c>
      <c r="G25" s="271">
        <v>0</v>
      </c>
      <c r="H25" s="271">
        <v>0</v>
      </c>
      <c r="I25" s="267">
        <v>0</v>
      </c>
      <c r="J25" s="271">
        <v>0</v>
      </c>
      <c r="K25" s="267">
        <v>1831733.8</v>
      </c>
      <c r="L25" s="271">
        <v>0</v>
      </c>
      <c r="M25" s="271">
        <v>0</v>
      </c>
      <c r="N25" s="271">
        <v>0</v>
      </c>
      <c r="O25" s="271">
        <v>0</v>
      </c>
      <c r="P25" s="267">
        <v>1319585.5</v>
      </c>
      <c r="Q25" s="271">
        <v>0</v>
      </c>
      <c r="R25" s="271">
        <v>0</v>
      </c>
      <c r="S25" s="271">
        <v>0</v>
      </c>
      <c r="T25" s="267">
        <v>20231.900000000001</v>
      </c>
      <c r="U25" s="285"/>
      <c r="V25" s="275"/>
      <c r="W25" s="287" t="s">
        <v>30</v>
      </c>
      <c r="X25" s="295">
        <v>367292</v>
      </c>
      <c r="Y25" s="295">
        <v>385490</v>
      </c>
      <c r="Z25" s="287" t="s">
        <v>31</v>
      </c>
      <c r="AA25" s="285"/>
      <c r="AB25" s="205">
        <f t="shared" si="2"/>
        <v>72.04024405729696</v>
      </c>
      <c r="AC25" s="198">
        <f t="shared" si="3"/>
        <v>104.95464099408645</v>
      </c>
      <c r="AD25" s="269">
        <v>640389</v>
      </c>
      <c r="AE25" s="269"/>
      <c r="AF25" s="269"/>
      <c r="AS25" s="207"/>
    </row>
    <row r="26" spans="1:45" ht="318.75" customHeight="1" x14ac:dyDescent="0.9">
      <c r="A26" s="288"/>
      <c r="B26" s="290"/>
      <c r="C26" s="290"/>
      <c r="D26" s="294"/>
      <c r="E26" s="294"/>
      <c r="F26" s="272"/>
      <c r="G26" s="272"/>
      <c r="H26" s="272"/>
      <c r="I26" s="268"/>
      <c r="J26" s="272"/>
      <c r="K26" s="268"/>
      <c r="L26" s="272"/>
      <c r="M26" s="272"/>
      <c r="N26" s="272"/>
      <c r="O26" s="272"/>
      <c r="P26" s="268"/>
      <c r="Q26" s="272"/>
      <c r="R26" s="272"/>
      <c r="S26" s="272"/>
      <c r="T26" s="268"/>
      <c r="U26" s="286"/>
      <c r="V26" s="276"/>
      <c r="W26" s="288"/>
      <c r="X26" s="296"/>
      <c r="Y26" s="296"/>
      <c r="Z26" s="288"/>
      <c r="AA26" s="286"/>
      <c r="AB26" s="205" t="e">
        <f t="shared" si="2"/>
        <v>#DIV/0!</v>
      </c>
      <c r="AC26" s="198"/>
      <c r="AD26" s="270"/>
      <c r="AE26" s="270"/>
      <c r="AF26" s="270"/>
      <c r="AH26" s="208">
        <f>K25-E25</f>
        <v>-835498.40000000014</v>
      </c>
    </row>
    <row r="27" spans="1:45" ht="408.75" customHeight="1" x14ac:dyDescent="0.25">
      <c r="A27" s="112" t="s">
        <v>39</v>
      </c>
      <c r="B27" s="211" t="s">
        <v>301</v>
      </c>
      <c r="C27" s="211" t="s">
        <v>27</v>
      </c>
      <c r="D27" s="137">
        <v>0</v>
      </c>
      <c r="E27" s="138">
        <v>1205114.7</v>
      </c>
      <c r="F27" s="118">
        <v>0</v>
      </c>
      <c r="G27" s="117">
        <v>0</v>
      </c>
      <c r="H27" s="117">
        <v>0</v>
      </c>
      <c r="I27" s="137">
        <v>0</v>
      </c>
      <c r="J27" s="117">
        <v>0</v>
      </c>
      <c r="K27" s="138">
        <v>1205114.7</v>
      </c>
      <c r="L27" s="117">
        <v>0</v>
      </c>
      <c r="M27" s="117">
        <v>0</v>
      </c>
      <c r="N27" s="117">
        <v>0</v>
      </c>
      <c r="O27" s="117">
        <v>0</v>
      </c>
      <c r="P27" s="137">
        <v>1011897.9</v>
      </c>
      <c r="Q27" s="117">
        <v>0</v>
      </c>
      <c r="R27" s="117">
        <v>0</v>
      </c>
      <c r="S27" s="117">
        <v>0</v>
      </c>
      <c r="T27" s="137">
        <v>14342</v>
      </c>
      <c r="U27" s="119"/>
      <c r="V27" s="18"/>
      <c r="W27" s="108" t="s">
        <v>40</v>
      </c>
      <c r="X27" s="115">
        <v>59000</v>
      </c>
      <c r="Y27" s="115">
        <v>58904</v>
      </c>
      <c r="Z27" s="210" t="s">
        <v>233</v>
      </c>
      <c r="AA27" s="116" t="s">
        <v>281</v>
      </c>
      <c r="AB27" s="205">
        <f t="shared" si="2"/>
        <v>83.966936923099524</v>
      </c>
      <c r="AC27" s="198">
        <f t="shared" si="3"/>
        <v>99.837288135593212</v>
      </c>
      <c r="AD27" s="137">
        <v>679673.2</v>
      </c>
      <c r="AE27" s="193"/>
      <c r="AF27" s="193"/>
    </row>
    <row r="28" spans="1:45" ht="408.75" customHeight="1" x14ac:dyDescent="0.25">
      <c r="A28" s="291" t="s">
        <v>41</v>
      </c>
      <c r="B28" s="289" t="s">
        <v>302</v>
      </c>
      <c r="C28" s="289" t="s">
        <v>27</v>
      </c>
      <c r="D28" s="267">
        <v>3792350.2</v>
      </c>
      <c r="E28" s="293">
        <v>0</v>
      </c>
      <c r="F28" s="297">
        <v>0</v>
      </c>
      <c r="G28" s="271">
        <v>0</v>
      </c>
      <c r="H28" s="271">
        <v>0</v>
      </c>
      <c r="I28" s="267">
        <v>3792350.2</v>
      </c>
      <c r="J28" s="271">
        <v>0</v>
      </c>
      <c r="K28" s="267">
        <v>0</v>
      </c>
      <c r="L28" s="271">
        <v>0</v>
      </c>
      <c r="M28" s="271">
        <v>0</v>
      </c>
      <c r="N28" s="271">
        <v>1896742.2</v>
      </c>
      <c r="O28" s="271">
        <v>0</v>
      </c>
      <c r="P28" s="267">
        <v>0</v>
      </c>
      <c r="Q28" s="271">
        <v>0</v>
      </c>
      <c r="R28" s="271">
        <v>0</v>
      </c>
      <c r="S28" s="271">
        <v>0</v>
      </c>
      <c r="T28" s="267">
        <v>13894.4</v>
      </c>
      <c r="U28" s="285"/>
      <c r="V28" s="275"/>
      <c r="W28" s="287" t="s">
        <v>30</v>
      </c>
      <c r="X28" s="295">
        <v>474910</v>
      </c>
      <c r="Y28" s="295">
        <v>425302</v>
      </c>
      <c r="Z28" s="287" t="s">
        <v>31</v>
      </c>
      <c r="AA28" s="285"/>
      <c r="AB28" s="319" t="e">
        <f t="shared" si="2"/>
        <v>#DIV/0!</v>
      </c>
      <c r="AC28" s="198">
        <f t="shared" si="3"/>
        <v>89.554231328041098</v>
      </c>
      <c r="AD28" s="271">
        <v>1051194</v>
      </c>
      <c r="AE28" s="273"/>
      <c r="AF28" s="269"/>
    </row>
    <row r="29" spans="1:45" ht="171" customHeight="1" x14ac:dyDescent="0.25">
      <c r="A29" s="292"/>
      <c r="B29" s="290"/>
      <c r="C29" s="290"/>
      <c r="D29" s="268"/>
      <c r="E29" s="294"/>
      <c r="F29" s="298"/>
      <c r="G29" s="272"/>
      <c r="H29" s="272"/>
      <c r="I29" s="268"/>
      <c r="J29" s="272"/>
      <c r="K29" s="268"/>
      <c r="L29" s="272"/>
      <c r="M29" s="272"/>
      <c r="N29" s="272"/>
      <c r="O29" s="272"/>
      <c r="P29" s="268"/>
      <c r="Q29" s="272"/>
      <c r="R29" s="272"/>
      <c r="S29" s="272"/>
      <c r="T29" s="268"/>
      <c r="U29" s="286"/>
      <c r="V29" s="276"/>
      <c r="W29" s="288"/>
      <c r="X29" s="296"/>
      <c r="Y29" s="296"/>
      <c r="Z29" s="288"/>
      <c r="AA29" s="286"/>
      <c r="AB29" s="319"/>
      <c r="AC29" s="198"/>
      <c r="AD29" s="272"/>
      <c r="AE29" s="274"/>
      <c r="AF29" s="270"/>
    </row>
    <row r="30" spans="1:45" ht="408.75" customHeight="1" x14ac:dyDescent="0.25">
      <c r="A30" s="112" t="s">
        <v>42</v>
      </c>
      <c r="B30" s="211" t="s">
        <v>303</v>
      </c>
      <c r="C30" s="211" t="s">
        <v>27</v>
      </c>
      <c r="D30" s="137">
        <v>6020.1</v>
      </c>
      <c r="E30" s="138">
        <v>5102.6000000000004</v>
      </c>
      <c r="F30" s="118">
        <v>0</v>
      </c>
      <c r="G30" s="117">
        <v>0</v>
      </c>
      <c r="H30" s="117">
        <v>0</v>
      </c>
      <c r="I30" s="137">
        <v>6020.1</v>
      </c>
      <c r="J30" s="117">
        <v>0</v>
      </c>
      <c r="K30" s="137">
        <v>15802.6</v>
      </c>
      <c r="L30" s="117">
        <v>0</v>
      </c>
      <c r="M30" s="117">
        <v>0</v>
      </c>
      <c r="N30" s="117">
        <v>6004.3</v>
      </c>
      <c r="O30" s="117">
        <v>0</v>
      </c>
      <c r="P30" s="137">
        <v>5837.2</v>
      </c>
      <c r="Q30" s="117">
        <v>0</v>
      </c>
      <c r="R30" s="117">
        <v>0</v>
      </c>
      <c r="S30" s="117">
        <v>0</v>
      </c>
      <c r="T30" s="137">
        <f>165.6</f>
        <v>165.6</v>
      </c>
      <c r="U30" s="119"/>
      <c r="V30" s="18"/>
      <c r="W30" s="108" t="s">
        <v>30</v>
      </c>
      <c r="X30" s="115">
        <v>12000</v>
      </c>
      <c r="Y30" s="115">
        <v>12828</v>
      </c>
      <c r="Z30" s="210" t="s">
        <v>233</v>
      </c>
      <c r="AA30" s="116"/>
      <c r="AB30" s="205">
        <f t="shared" si="2"/>
        <v>36.938225355321272</v>
      </c>
      <c r="AC30" s="198">
        <f t="shared" si="3"/>
        <v>106.89999999999999</v>
      </c>
      <c r="AD30" s="193">
        <v>5779.7</v>
      </c>
      <c r="AE30" s="193"/>
      <c r="AF30" s="193"/>
    </row>
    <row r="31" spans="1:45" ht="408" customHeight="1" x14ac:dyDescent="0.25">
      <c r="A31" s="210" t="s">
        <v>43</v>
      </c>
      <c r="B31" s="211" t="s">
        <v>304</v>
      </c>
      <c r="C31" s="211" t="s">
        <v>27</v>
      </c>
      <c r="D31" s="137">
        <v>0</v>
      </c>
      <c r="E31" s="138">
        <v>4193990.1</v>
      </c>
      <c r="F31" s="118">
        <v>0</v>
      </c>
      <c r="G31" s="117">
        <v>0</v>
      </c>
      <c r="H31" s="117">
        <v>0</v>
      </c>
      <c r="I31" s="137">
        <v>0</v>
      </c>
      <c r="J31" s="117">
        <v>0</v>
      </c>
      <c r="K31" s="137">
        <v>4183290.1</v>
      </c>
      <c r="L31" s="117">
        <v>0</v>
      </c>
      <c r="M31" s="117">
        <v>0</v>
      </c>
      <c r="N31" s="117">
        <v>0</v>
      </c>
      <c r="O31" s="117">
        <v>0</v>
      </c>
      <c r="P31" s="137">
        <v>2007078.9</v>
      </c>
      <c r="Q31" s="117">
        <v>0</v>
      </c>
      <c r="R31" s="117">
        <v>0</v>
      </c>
      <c r="S31" s="117">
        <v>0</v>
      </c>
      <c r="T31" s="137">
        <v>30120</v>
      </c>
      <c r="U31" s="108"/>
      <c r="V31" s="18"/>
      <c r="W31" s="108" t="s">
        <v>30</v>
      </c>
      <c r="X31" s="115">
        <v>330405</v>
      </c>
      <c r="Y31" s="115">
        <v>344831</v>
      </c>
      <c r="Z31" s="210" t="s">
        <v>31</v>
      </c>
      <c r="AA31" s="116"/>
      <c r="AB31" s="205">
        <f t="shared" si="2"/>
        <v>47.978477514624188</v>
      </c>
      <c r="AC31" s="198">
        <f t="shared" si="3"/>
        <v>104.36615668649083</v>
      </c>
      <c r="AD31" s="137">
        <v>1148429.037</v>
      </c>
      <c r="AE31" s="193"/>
      <c r="AF31" s="193"/>
    </row>
    <row r="32" spans="1:45" ht="408" customHeight="1" x14ac:dyDescent="0.25">
      <c r="A32" s="210" t="s">
        <v>91</v>
      </c>
      <c r="B32" s="211" t="s">
        <v>305</v>
      </c>
      <c r="C32" s="211" t="s">
        <v>27</v>
      </c>
      <c r="D32" s="137">
        <v>0</v>
      </c>
      <c r="E32" s="138">
        <v>50</v>
      </c>
      <c r="F32" s="118">
        <v>0</v>
      </c>
      <c r="G32" s="117">
        <v>0</v>
      </c>
      <c r="H32" s="117">
        <v>0</v>
      </c>
      <c r="I32" s="137">
        <v>0</v>
      </c>
      <c r="J32" s="117">
        <v>0</v>
      </c>
      <c r="K32" s="137">
        <v>50</v>
      </c>
      <c r="L32" s="117">
        <v>0</v>
      </c>
      <c r="M32" s="117">
        <v>0</v>
      </c>
      <c r="N32" s="117">
        <v>0</v>
      </c>
      <c r="O32" s="117">
        <v>0</v>
      </c>
      <c r="P32" s="137">
        <v>0</v>
      </c>
      <c r="Q32" s="117">
        <v>0</v>
      </c>
      <c r="R32" s="117">
        <v>0</v>
      </c>
      <c r="S32" s="117">
        <v>0</v>
      </c>
      <c r="T32" s="137">
        <v>0</v>
      </c>
      <c r="U32" s="108"/>
      <c r="V32" s="18"/>
      <c r="W32" s="108" t="s">
        <v>30</v>
      </c>
      <c r="X32" s="115">
        <v>200</v>
      </c>
      <c r="Y32" s="115">
        <v>0</v>
      </c>
      <c r="Z32" s="210" t="s">
        <v>233</v>
      </c>
      <c r="AA32" s="116" t="s">
        <v>281</v>
      </c>
      <c r="AB32" s="205">
        <f t="shared" si="2"/>
        <v>0</v>
      </c>
      <c r="AC32" s="198">
        <f t="shared" si="3"/>
        <v>0</v>
      </c>
      <c r="AD32" s="193">
        <v>0</v>
      </c>
      <c r="AE32" s="193"/>
      <c r="AF32" s="193"/>
    </row>
    <row r="33" spans="1:32" ht="409.6" customHeight="1" x14ac:dyDescent="0.25">
      <c r="A33" s="112" t="s">
        <v>45</v>
      </c>
      <c r="B33" s="211" t="s">
        <v>306</v>
      </c>
      <c r="C33" s="211" t="s">
        <v>27</v>
      </c>
      <c r="D33" s="137">
        <v>0</v>
      </c>
      <c r="E33" s="138">
        <v>5716.8</v>
      </c>
      <c r="F33" s="118">
        <v>0</v>
      </c>
      <c r="G33" s="117">
        <v>0</v>
      </c>
      <c r="H33" s="117">
        <v>0</v>
      </c>
      <c r="I33" s="137">
        <v>0</v>
      </c>
      <c r="J33" s="117">
        <v>0</v>
      </c>
      <c r="K33" s="137">
        <v>5716.8</v>
      </c>
      <c r="L33" s="117">
        <v>0</v>
      </c>
      <c r="M33" s="117">
        <v>0</v>
      </c>
      <c r="N33" s="117">
        <v>0</v>
      </c>
      <c r="O33" s="117">
        <v>0</v>
      </c>
      <c r="P33" s="137">
        <v>2606.3000000000002</v>
      </c>
      <c r="Q33" s="117">
        <v>0</v>
      </c>
      <c r="R33" s="117">
        <v>0</v>
      </c>
      <c r="S33" s="117">
        <v>0</v>
      </c>
      <c r="T33" s="137">
        <v>38.4</v>
      </c>
      <c r="U33" s="119"/>
      <c r="V33" s="18"/>
      <c r="W33" s="108" t="s">
        <v>30</v>
      </c>
      <c r="X33" s="110">
        <v>655</v>
      </c>
      <c r="Y33" s="110">
        <v>612</v>
      </c>
      <c r="Z33" s="210" t="s">
        <v>233</v>
      </c>
      <c r="AA33" s="116" t="s">
        <v>281</v>
      </c>
      <c r="AB33" s="205">
        <f t="shared" si="2"/>
        <v>45.590190316260845</v>
      </c>
      <c r="AC33" s="198">
        <f t="shared" si="3"/>
        <v>93.435114503816791</v>
      </c>
      <c r="AD33" s="137">
        <v>1312.4</v>
      </c>
      <c r="AE33" s="193"/>
      <c r="AF33" s="193"/>
    </row>
    <row r="34" spans="1:32" ht="408.75" customHeight="1" x14ac:dyDescent="0.25">
      <c r="A34" s="291" t="s">
        <v>46</v>
      </c>
      <c r="B34" s="289" t="s">
        <v>307</v>
      </c>
      <c r="C34" s="289" t="s">
        <v>27</v>
      </c>
      <c r="D34" s="267">
        <v>0</v>
      </c>
      <c r="E34" s="293">
        <v>12524.5</v>
      </c>
      <c r="F34" s="271">
        <v>0</v>
      </c>
      <c r="G34" s="271">
        <v>0</v>
      </c>
      <c r="H34" s="271">
        <v>0</v>
      </c>
      <c r="I34" s="267">
        <v>0</v>
      </c>
      <c r="J34" s="271">
        <v>0</v>
      </c>
      <c r="K34" s="267">
        <v>12524.5</v>
      </c>
      <c r="L34" s="271">
        <v>0</v>
      </c>
      <c r="M34" s="271">
        <v>0</v>
      </c>
      <c r="N34" s="271">
        <v>0</v>
      </c>
      <c r="O34" s="271">
        <v>0</v>
      </c>
      <c r="P34" s="267">
        <v>5513.3</v>
      </c>
      <c r="Q34" s="271">
        <v>0</v>
      </c>
      <c r="R34" s="271">
        <v>0</v>
      </c>
      <c r="S34" s="271">
        <v>0</v>
      </c>
      <c r="T34" s="267">
        <v>85.5</v>
      </c>
      <c r="U34" s="285"/>
      <c r="V34" s="275"/>
      <c r="W34" s="287" t="s">
        <v>30</v>
      </c>
      <c r="X34" s="295">
        <v>1435</v>
      </c>
      <c r="Y34" s="295">
        <v>1283</v>
      </c>
      <c r="Z34" s="287" t="s">
        <v>233</v>
      </c>
      <c r="AA34" s="285" t="s">
        <v>281</v>
      </c>
      <c r="AB34" s="205">
        <f t="shared" si="2"/>
        <v>44.020120563695158</v>
      </c>
      <c r="AC34" s="198">
        <f t="shared" si="3"/>
        <v>89.40766550522649</v>
      </c>
      <c r="AD34" s="269">
        <v>2773.1</v>
      </c>
      <c r="AE34" s="269"/>
      <c r="AF34" s="269"/>
    </row>
    <row r="35" spans="1:32" ht="352.5" customHeight="1" x14ac:dyDescent="0.25">
      <c r="A35" s="292"/>
      <c r="B35" s="290"/>
      <c r="C35" s="290"/>
      <c r="D35" s="268"/>
      <c r="E35" s="294"/>
      <c r="F35" s="272"/>
      <c r="G35" s="272"/>
      <c r="H35" s="272"/>
      <c r="I35" s="268"/>
      <c r="J35" s="272"/>
      <c r="K35" s="268"/>
      <c r="L35" s="272"/>
      <c r="M35" s="272"/>
      <c r="N35" s="272"/>
      <c r="O35" s="272"/>
      <c r="P35" s="268"/>
      <c r="Q35" s="272"/>
      <c r="R35" s="272"/>
      <c r="S35" s="272"/>
      <c r="T35" s="268"/>
      <c r="U35" s="286"/>
      <c r="V35" s="276"/>
      <c r="W35" s="288"/>
      <c r="X35" s="296"/>
      <c r="Y35" s="296"/>
      <c r="Z35" s="288"/>
      <c r="AA35" s="286"/>
      <c r="AB35" s="205" t="e">
        <f t="shared" si="2"/>
        <v>#DIV/0!</v>
      </c>
      <c r="AC35" s="198"/>
      <c r="AD35" s="270"/>
      <c r="AE35" s="270"/>
      <c r="AF35" s="270"/>
    </row>
    <row r="36" spans="1:32" ht="220.5" customHeight="1" x14ac:dyDescent="0.25">
      <c r="A36" s="112" t="s">
        <v>47</v>
      </c>
      <c r="B36" s="211" t="s">
        <v>308</v>
      </c>
      <c r="C36" s="211" t="s">
        <v>27</v>
      </c>
      <c r="D36" s="137">
        <v>0</v>
      </c>
      <c r="E36" s="138">
        <v>3681</v>
      </c>
      <c r="F36" s="111">
        <v>0</v>
      </c>
      <c r="G36" s="111">
        <v>0</v>
      </c>
      <c r="H36" s="111">
        <v>0</v>
      </c>
      <c r="I36" s="137">
        <v>0</v>
      </c>
      <c r="J36" s="111">
        <v>0</v>
      </c>
      <c r="K36" s="137">
        <v>3681</v>
      </c>
      <c r="L36" s="111">
        <v>0</v>
      </c>
      <c r="M36" s="111">
        <v>0</v>
      </c>
      <c r="N36" s="111">
        <v>0</v>
      </c>
      <c r="O36" s="111">
        <v>0</v>
      </c>
      <c r="P36" s="137">
        <v>1337.7</v>
      </c>
      <c r="Q36" s="111">
        <v>0</v>
      </c>
      <c r="R36" s="111">
        <v>0</v>
      </c>
      <c r="S36" s="111">
        <v>0</v>
      </c>
      <c r="T36" s="137">
        <v>12.7</v>
      </c>
      <c r="U36" s="116"/>
      <c r="V36" s="110"/>
      <c r="W36" s="210" t="s">
        <v>30</v>
      </c>
      <c r="X36" s="110">
        <v>392</v>
      </c>
      <c r="Y36" s="110">
        <v>378</v>
      </c>
      <c r="Z36" s="210" t="s">
        <v>233</v>
      </c>
      <c r="AA36" s="116" t="s">
        <v>281</v>
      </c>
      <c r="AB36" s="205">
        <f t="shared" si="2"/>
        <v>36.340668296658521</v>
      </c>
      <c r="AC36" s="198">
        <f t="shared" si="3"/>
        <v>96.428571428571431</v>
      </c>
      <c r="AD36" s="193">
        <v>391.7</v>
      </c>
      <c r="AE36" s="193"/>
      <c r="AF36" s="193"/>
    </row>
    <row r="37" spans="1:32" ht="408.75" customHeight="1" x14ac:dyDescent="0.25">
      <c r="A37" s="291" t="s">
        <v>49</v>
      </c>
      <c r="B37" s="289" t="s">
        <v>309</v>
      </c>
      <c r="C37" s="289" t="s">
        <v>27</v>
      </c>
      <c r="D37" s="267">
        <v>0</v>
      </c>
      <c r="E37" s="293">
        <v>54.9</v>
      </c>
      <c r="F37" s="271">
        <v>0</v>
      </c>
      <c r="G37" s="271">
        <v>0</v>
      </c>
      <c r="H37" s="271">
        <v>0</v>
      </c>
      <c r="I37" s="267">
        <v>0</v>
      </c>
      <c r="J37" s="271">
        <v>0</v>
      </c>
      <c r="K37" s="267">
        <v>54.9</v>
      </c>
      <c r="L37" s="271">
        <v>0</v>
      </c>
      <c r="M37" s="271">
        <v>0</v>
      </c>
      <c r="N37" s="271">
        <v>0</v>
      </c>
      <c r="O37" s="271">
        <v>0</v>
      </c>
      <c r="P37" s="267">
        <v>10.1</v>
      </c>
      <c r="Q37" s="271">
        <v>0</v>
      </c>
      <c r="R37" s="271">
        <v>0</v>
      </c>
      <c r="S37" s="271">
        <v>0</v>
      </c>
      <c r="T37" s="267">
        <v>0.2</v>
      </c>
      <c r="U37" s="285"/>
      <c r="V37" s="275"/>
      <c r="W37" s="287" t="s">
        <v>30</v>
      </c>
      <c r="X37" s="275">
        <v>31</v>
      </c>
      <c r="Y37" s="275">
        <v>16</v>
      </c>
      <c r="Z37" s="287" t="s">
        <v>233</v>
      </c>
      <c r="AA37" s="285" t="s">
        <v>281</v>
      </c>
      <c r="AB37" s="205">
        <f t="shared" si="2"/>
        <v>18.397085610200364</v>
      </c>
      <c r="AC37" s="198">
        <f t="shared" si="3"/>
        <v>51.612903225806448</v>
      </c>
      <c r="AD37" s="269">
        <v>6.6</v>
      </c>
      <c r="AE37" s="193"/>
      <c r="AF37" s="193"/>
    </row>
    <row r="38" spans="1:32" ht="50.25" customHeight="1" x14ac:dyDescent="0.25">
      <c r="A38" s="292"/>
      <c r="B38" s="290"/>
      <c r="C38" s="290"/>
      <c r="D38" s="268"/>
      <c r="E38" s="294"/>
      <c r="F38" s="272"/>
      <c r="G38" s="272"/>
      <c r="H38" s="272"/>
      <c r="I38" s="268"/>
      <c r="J38" s="272"/>
      <c r="K38" s="268"/>
      <c r="L38" s="272"/>
      <c r="M38" s="272"/>
      <c r="N38" s="272"/>
      <c r="O38" s="272"/>
      <c r="P38" s="268"/>
      <c r="Q38" s="272"/>
      <c r="R38" s="272"/>
      <c r="S38" s="272"/>
      <c r="T38" s="268"/>
      <c r="U38" s="286"/>
      <c r="V38" s="276"/>
      <c r="W38" s="288"/>
      <c r="X38" s="276"/>
      <c r="Y38" s="276"/>
      <c r="Z38" s="288"/>
      <c r="AA38" s="286"/>
      <c r="AB38" s="205" t="e">
        <f t="shared" si="2"/>
        <v>#DIV/0!</v>
      </c>
      <c r="AC38" s="198"/>
      <c r="AD38" s="270"/>
      <c r="AE38" s="193"/>
      <c r="AF38" s="193"/>
    </row>
    <row r="39" spans="1:32" ht="409.5" customHeight="1" x14ac:dyDescent="0.25">
      <c r="A39" s="287" t="s">
        <v>50</v>
      </c>
      <c r="B39" s="289" t="s">
        <v>310</v>
      </c>
      <c r="C39" s="289" t="s">
        <v>27</v>
      </c>
      <c r="D39" s="267">
        <v>1226.7</v>
      </c>
      <c r="E39" s="267">
        <v>0</v>
      </c>
      <c r="F39" s="271">
        <v>0</v>
      </c>
      <c r="G39" s="271">
        <v>0</v>
      </c>
      <c r="H39" s="271">
        <v>0</v>
      </c>
      <c r="I39" s="267">
        <v>1226.7</v>
      </c>
      <c r="J39" s="271">
        <v>0</v>
      </c>
      <c r="K39" s="267">
        <v>0</v>
      </c>
      <c r="L39" s="271">
        <v>0</v>
      </c>
      <c r="M39" s="271">
        <v>0</v>
      </c>
      <c r="N39" s="271">
        <v>555</v>
      </c>
      <c r="O39" s="271">
        <v>0</v>
      </c>
      <c r="P39" s="267">
        <v>0</v>
      </c>
      <c r="Q39" s="271">
        <v>0</v>
      </c>
      <c r="R39" s="271">
        <v>0</v>
      </c>
      <c r="S39" s="271">
        <v>0</v>
      </c>
      <c r="T39" s="267">
        <v>0.4</v>
      </c>
      <c r="U39" s="283"/>
      <c r="V39" s="275"/>
      <c r="W39" s="287" t="s">
        <v>30</v>
      </c>
      <c r="X39" s="275">
        <v>300</v>
      </c>
      <c r="Y39" s="275">
        <v>178</v>
      </c>
      <c r="Z39" s="287" t="s">
        <v>233</v>
      </c>
      <c r="AA39" s="285" t="s">
        <v>281</v>
      </c>
      <c r="AB39" s="205" t="e">
        <f t="shared" si="2"/>
        <v>#DIV/0!</v>
      </c>
      <c r="AC39" s="198">
        <f t="shared" si="3"/>
        <v>59.333333333333336</v>
      </c>
      <c r="AD39" s="193">
        <v>277.8</v>
      </c>
      <c r="AE39" s="193"/>
      <c r="AF39" s="193"/>
    </row>
    <row r="40" spans="1:32" ht="154.5" customHeight="1" x14ac:dyDescent="0.25">
      <c r="A40" s="288"/>
      <c r="B40" s="290"/>
      <c r="C40" s="290"/>
      <c r="D40" s="268"/>
      <c r="E40" s="268"/>
      <c r="F40" s="272"/>
      <c r="G40" s="272"/>
      <c r="H40" s="272"/>
      <c r="I40" s="268"/>
      <c r="J40" s="272"/>
      <c r="K40" s="268"/>
      <c r="L40" s="272"/>
      <c r="M40" s="272"/>
      <c r="N40" s="272"/>
      <c r="O40" s="272"/>
      <c r="P40" s="268"/>
      <c r="Q40" s="272"/>
      <c r="R40" s="272"/>
      <c r="S40" s="272"/>
      <c r="T40" s="268"/>
      <c r="U40" s="284"/>
      <c r="V40" s="276"/>
      <c r="W40" s="288"/>
      <c r="X40" s="276"/>
      <c r="Y40" s="276"/>
      <c r="Z40" s="288"/>
      <c r="AA40" s="286"/>
      <c r="AB40" s="205" t="e">
        <f t="shared" si="2"/>
        <v>#DIV/0!</v>
      </c>
      <c r="AC40" s="198"/>
      <c r="AD40" s="193"/>
      <c r="AE40" s="193"/>
      <c r="AF40" s="193"/>
    </row>
    <row r="41" spans="1:32" ht="408.75" customHeight="1" x14ac:dyDescent="0.25">
      <c r="A41" s="210" t="s">
        <v>51</v>
      </c>
      <c r="B41" s="211" t="s">
        <v>311</v>
      </c>
      <c r="C41" s="211"/>
      <c r="D41" s="137">
        <v>0</v>
      </c>
      <c r="E41" s="137">
        <v>2639</v>
      </c>
      <c r="F41" s="117">
        <v>0</v>
      </c>
      <c r="G41" s="117">
        <v>0</v>
      </c>
      <c r="H41" s="117">
        <v>0</v>
      </c>
      <c r="I41" s="137">
        <v>0</v>
      </c>
      <c r="J41" s="117">
        <v>0</v>
      </c>
      <c r="K41" s="137">
        <v>2639</v>
      </c>
      <c r="L41" s="117">
        <v>0</v>
      </c>
      <c r="M41" s="117">
        <v>0</v>
      </c>
      <c r="N41" s="117">
        <v>0</v>
      </c>
      <c r="O41" s="117">
        <v>0</v>
      </c>
      <c r="P41" s="137">
        <v>823.3</v>
      </c>
      <c r="Q41" s="117">
        <v>0</v>
      </c>
      <c r="R41" s="117">
        <v>0</v>
      </c>
      <c r="S41" s="117">
        <v>0</v>
      </c>
      <c r="T41" s="137">
        <v>12.8</v>
      </c>
      <c r="U41" s="119"/>
      <c r="V41" s="18"/>
      <c r="W41" s="108" t="s">
        <v>30</v>
      </c>
      <c r="X41" s="110">
        <v>379</v>
      </c>
      <c r="Y41" s="110">
        <v>147</v>
      </c>
      <c r="Z41" s="210" t="s">
        <v>233</v>
      </c>
      <c r="AA41" s="116" t="s">
        <v>281</v>
      </c>
      <c r="AB41" s="205">
        <f t="shared" si="2"/>
        <v>31.197423266388778</v>
      </c>
      <c r="AC41" s="198">
        <f t="shared" si="3"/>
        <v>38.786279683377309</v>
      </c>
      <c r="AD41" s="193">
        <v>172.5</v>
      </c>
      <c r="AE41" s="193"/>
      <c r="AF41" s="193"/>
    </row>
    <row r="42" spans="1:32" ht="387.75" x14ac:dyDescent="0.25">
      <c r="A42" s="112" t="s">
        <v>52</v>
      </c>
      <c r="B42" s="244" t="s">
        <v>312</v>
      </c>
      <c r="C42" s="244" t="s">
        <v>27</v>
      </c>
      <c r="D42" s="137">
        <v>0</v>
      </c>
      <c r="E42" s="137">
        <v>39312.5</v>
      </c>
      <c r="F42" s="111">
        <v>0</v>
      </c>
      <c r="G42" s="111">
        <v>0</v>
      </c>
      <c r="H42" s="111">
        <v>0</v>
      </c>
      <c r="I42" s="137">
        <v>0</v>
      </c>
      <c r="J42" s="111">
        <v>0</v>
      </c>
      <c r="K42" s="137">
        <v>9583.9</v>
      </c>
      <c r="L42" s="111">
        <v>0</v>
      </c>
      <c r="M42" s="111">
        <v>0</v>
      </c>
      <c r="N42" s="111">
        <v>0</v>
      </c>
      <c r="O42" s="111">
        <v>0</v>
      </c>
      <c r="P42" s="137">
        <v>9583.9</v>
      </c>
      <c r="Q42" s="111">
        <v>0</v>
      </c>
      <c r="R42" s="111">
        <v>0</v>
      </c>
      <c r="S42" s="111">
        <v>0</v>
      </c>
      <c r="T42" s="137">
        <v>746.7</v>
      </c>
      <c r="U42" s="244"/>
      <c r="V42" s="110"/>
      <c r="W42" s="243" t="s">
        <v>30</v>
      </c>
      <c r="X42" s="115">
        <v>6516</v>
      </c>
      <c r="Y42" s="115">
        <f>1469+98</f>
        <v>1567</v>
      </c>
      <c r="Z42" s="243" t="s">
        <v>233</v>
      </c>
      <c r="AA42" s="116" t="s">
        <v>281</v>
      </c>
      <c r="AB42" s="205">
        <f t="shared" si="2"/>
        <v>100</v>
      </c>
      <c r="AC42" s="198">
        <f t="shared" si="3"/>
        <v>24.048496009821978</v>
      </c>
      <c r="AD42" s="193">
        <v>9583.9</v>
      </c>
      <c r="AE42" s="193"/>
      <c r="AF42" s="193"/>
    </row>
    <row r="43" spans="1:32" ht="387" customHeight="1" x14ac:dyDescent="0.25">
      <c r="A43" s="291" t="s">
        <v>53</v>
      </c>
      <c r="B43" s="289" t="s">
        <v>313</v>
      </c>
      <c r="C43" s="289" t="s">
        <v>27</v>
      </c>
      <c r="D43" s="267">
        <v>0</v>
      </c>
      <c r="E43" s="293">
        <v>39</v>
      </c>
      <c r="F43" s="271">
        <v>0</v>
      </c>
      <c r="G43" s="271">
        <v>0</v>
      </c>
      <c r="H43" s="271">
        <v>0</v>
      </c>
      <c r="I43" s="267">
        <v>0</v>
      </c>
      <c r="J43" s="271">
        <v>0</v>
      </c>
      <c r="K43" s="267">
        <v>39</v>
      </c>
      <c r="L43" s="271">
        <v>0</v>
      </c>
      <c r="M43" s="271">
        <v>0</v>
      </c>
      <c r="N43" s="271">
        <v>0</v>
      </c>
      <c r="O43" s="271">
        <v>0</v>
      </c>
      <c r="P43" s="267">
        <v>0</v>
      </c>
      <c r="Q43" s="271">
        <v>0</v>
      </c>
      <c r="R43" s="271">
        <v>0</v>
      </c>
      <c r="S43" s="271">
        <v>0</v>
      </c>
      <c r="T43" s="267">
        <v>0</v>
      </c>
      <c r="U43" s="289"/>
      <c r="V43" s="281"/>
      <c r="W43" s="289" t="s">
        <v>30</v>
      </c>
      <c r="X43" s="275">
        <v>6</v>
      </c>
      <c r="Y43" s="275">
        <v>0</v>
      </c>
      <c r="Z43" s="287" t="s">
        <v>233</v>
      </c>
      <c r="AA43" s="285" t="s">
        <v>282</v>
      </c>
      <c r="AB43" s="205">
        <f t="shared" si="2"/>
        <v>0</v>
      </c>
      <c r="AC43" s="198">
        <f t="shared" si="3"/>
        <v>0</v>
      </c>
      <c r="AD43" s="193">
        <v>0</v>
      </c>
      <c r="AE43" s="193"/>
      <c r="AF43" s="193"/>
    </row>
    <row r="44" spans="1:32" ht="161.25" hidden="1" customHeight="1" x14ac:dyDescent="0.25">
      <c r="A44" s="292"/>
      <c r="B44" s="290"/>
      <c r="C44" s="290"/>
      <c r="D44" s="268"/>
      <c r="E44" s="294"/>
      <c r="F44" s="272"/>
      <c r="G44" s="272"/>
      <c r="H44" s="272"/>
      <c r="I44" s="268"/>
      <c r="J44" s="272"/>
      <c r="K44" s="268"/>
      <c r="L44" s="272"/>
      <c r="M44" s="272"/>
      <c r="N44" s="272"/>
      <c r="O44" s="272"/>
      <c r="P44" s="268"/>
      <c r="Q44" s="272"/>
      <c r="R44" s="272"/>
      <c r="S44" s="272"/>
      <c r="T44" s="268"/>
      <c r="U44" s="290"/>
      <c r="V44" s="278"/>
      <c r="W44" s="290"/>
      <c r="X44" s="276"/>
      <c r="Y44" s="276"/>
      <c r="Z44" s="288"/>
      <c r="AA44" s="286"/>
      <c r="AB44" s="205" t="e">
        <f t="shared" si="2"/>
        <v>#DIV/0!</v>
      </c>
      <c r="AC44" s="198" t="e">
        <f t="shared" si="3"/>
        <v>#DIV/0!</v>
      </c>
      <c r="AD44" s="193"/>
      <c r="AE44" s="193"/>
      <c r="AF44" s="193"/>
    </row>
    <row r="45" spans="1:32" ht="347.25" customHeight="1" x14ac:dyDescent="0.25">
      <c r="A45" s="112" t="s">
        <v>388</v>
      </c>
      <c r="B45" s="211" t="s">
        <v>390</v>
      </c>
      <c r="C45" s="191" t="s">
        <v>27</v>
      </c>
      <c r="D45" s="137">
        <v>0</v>
      </c>
      <c r="E45" s="138">
        <v>38408.699999999997</v>
      </c>
      <c r="F45" s="111">
        <v>0</v>
      </c>
      <c r="G45" s="111">
        <v>0</v>
      </c>
      <c r="H45" s="111">
        <v>0</v>
      </c>
      <c r="I45" s="137">
        <v>0</v>
      </c>
      <c r="J45" s="111">
        <v>0</v>
      </c>
      <c r="K45" s="137">
        <v>38408.699999999997</v>
      </c>
      <c r="L45" s="111">
        <v>0</v>
      </c>
      <c r="M45" s="111">
        <v>0</v>
      </c>
      <c r="N45" s="111">
        <v>0</v>
      </c>
      <c r="O45" s="111">
        <v>0</v>
      </c>
      <c r="P45" s="137">
        <v>10986.8</v>
      </c>
      <c r="Q45" s="111">
        <v>0</v>
      </c>
      <c r="R45" s="111">
        <v>0</v>
      </c>
      <c r="S45" s="111">
        <v>0</v>
      </c>
      <c r="T45" s="137">
        <v>374.3</v>
      </c>
      <c r="U45" s="211"/>
      <c r="V45" s="13"/>
      <c r="W45" s="191" t="s">
        <v>30</v>
      </c>
      <c r="X45" s="110">
        <v>5923</v>
      </c>
      <c r="Y45" s="110">
        <v>3120</v>
      </c>
      <c r="Z45" s="210" t="s">
        <v>233</v>
      </c>
      <c r="AA45" s="116" t="s">
        <v>281</v>
      </c>
      <c r="AB45" s="205">
        <f t="shared" si="2"/>
        <v>28.604977518114389</v>
      </c>
      <c r="AC45" s="198"/>
      <c r="AD45" s="193">
        <v>0</v>
      </c>
      <c r="AE45" s="193"/>
      <c r="AF45" s="193"/>
    </row>
    <row r="46" spans="1:32" ht="332.25" customHeight="1" x14ac:dyDescent="0.25">
      <c r="A46" s="112" t="s">
        <v>389</v>
      </c>
      <c r="B46" s="211" t="s">
        <v>391</v>
      </c>
      <c r="C46" s="191" t="s">
        <v>27</v>
      </c>
      <c r="D46" s="137">
        <v>0</v>
      </c>
      <c r="E46" s="138">
        <v>903.8</v>
      </c>
      <c r="F46" s="111">
        <v>0</v>
      </c>
      <c r="G46" s="111">
        <v>0</v>
      </c>
      <c r="H46" s="111">
        <v>0</v>
      </c>
      <c r="I46" s="137">
        <v>0</v>
      </c>
      <c r="J46" s="111">
        <v>0</v>
      </c>
      <c r="K46" s="137">
        <v>903.8</v>
      </c>
      <c r="L46" s="111">
        <v>0</v>
      </c>
      <c r="M46" s="111">
        <v>0</v>
      </c>
      <c r="N46" s="111">
        <v>0</v>
      </c>
      <c r="O46" s="111">
        <v>0</v>
      </c>
      <c r="P46" s="137">
        <v>310.60000000000002</v>
      </c>
      <c r="Q46" s="111">
        <v>0</v>
      </c>
      <c r="R46" s="111">
        <v>0</v>
      </c>
      <c r="S46" s="111">
        <v>0</v>
      </c>
      <c r="T46" s="137">
        <v>372.4</v>
      </c>
      <c r="U46" s="211"/>
      <c r="V46" s="13"/>
      <c r="W46" s="211" t="s">
        <v>30</v>
      </c>
      <c r="X46" s="110">
        <v>593</v>
      </c>
      <c r="Y46" s="110">
        <v>222</v>
      </c>
      <c r="Z46" s="210" t="s">
        <v>233</v>
      </c>
      <c r="AA46" s="116" t="s">
        <v>281</v>
      </c>
      <c r="AB46" s="205">
        <f t="shared" si="2"/>
        <v>34.366010179243197</v>
      </c>
      <c r="AC46" s="198"/>
      <c r="AD46" s="193">
        <v>0</v>
      </c>
      <c r="AE46" s="193"/>
      <c r="AF46" s="193"/>
    </row>
    <row r="47" spans="1:32" ht="372" customHeight="1" x14ac:dyDescent="0.25">
      <c r="A47" s="112" t="s">
        <v>54</v>
      </c>
      <c r="B47" s="142" t="s">
        <v>314</v>
      </c>
      <c r="C47" s="142" t="s">
        <v>27</v>
      </c>
      <c r="D47" s="137">
        <v>0</v>
      </c>
      <c r="E47" s="137">
        <v>197.9</v>
      </c>
      <c r="F47" s="111">
        <v>0</v>
      </c>
      <c r="G47" s="111">
        <v>0</v>
      </c>
      <c r="H47" s="111">
        <v>0</v>
      </c>
      <c r="I47" s="137">
        <v>0</v>
      </c>
      <c r="J47" s="111">
        <v>0</v>
      </c>
      <c r="K47" s="137">
        <v>197.9</v>
      </c>
      <c r="L47" s="111">
        <v>0</v>
      </c>
      <c r="M47" s="111">
        <v>0</v>
      </c>
      <c r="N47" s="111">
        <v>0</v>
      </c>
      <c r="O47" s="111">
        <v>0</v>
      </c>
      <c r="P47" s="137">
        <v>0</v>
      </c>
      <c r="Q47" s="111">
        <v>0</v>
      </c>
      <c r="R47" s="111">
        <v>0</v>
      </c>
      <c r="S47" s="111">
        <v>0</v>
      </c>
      <c r="T47" s="137">
        <v>0</v>
      </c>
      <c r="U47" s="211"/>
      <c r="V47" s="110"/>
      <c r="W47" s="157" t="s">
        <v>30</v>
      </c>
      <c r="X47" s="110">
        <v>13</v>
      </c>
      <c r="Y47" s="110">
        <v>0</v>
      </c>
      <c r="Z47" s="157" t="s">
        <v>233</v>
      </c>
      <c r="AA47" s="116" t="s">
        <v>282</v>
      </c>
      <c r="AB47" s="205">
        <f t="shared" si="2"/>
        <v>0</v>
      </c>
      <c r="AC47" s="198">
        <f t="shared" si="3"/>
        <v>0</v>
      </c>
      <c r="AD47" s="193">
        <v>0</v>
      </c>
      <c r="AE47" s="193"/>
      <c r="AF47" s="193"/>
    </row>
    <row r="48" spans="1:32" ht="382.5" customHeight="1" x14ac:dyDescent="0.25">
      <c r="A48" s="291" t="s">
        <v>55</v>
      </c>
      <c r="B48" s="289" t="s">
        <v>315</v>
      </c>
      <c r="C48" s="289" t="s">
        <v>27</v>
      </c>
      <c r="D48" s="267">
        <v>338245.6</v>
      </c>
      <c r="E48" s="267">
        <v>0</v>
      </c>
      <c r="F48" s="271">
        <v>0</v>
      </c>
      <c r="G48" s="271">
        <v>0</v>
      </c>
      <c r="H48" s="271">
        <v>0</v>
      </c>
      <c r="I48" s="267">
        <v>338245.6</v>
      </c>
      <c r="J48" s="271">
        <v>0</v>
      </c>
      <c r="K48" s="267">
        <v>0</v>
      </c>
      <c r="L48" s="271">
        <v>0</v>
      </c>
      <c r="M48" s="271">
        <v>0</v>
      </c>
      <c r="N48" s="271">
        <v>324037.7</v>
      </c>
      <c r="O48" s="271">
        <v>0</v>
      </c>
      <c r="P48" s="267">
        <v>0</v>
      </c>
      <c r="Q48" s="271">
        <v>0</v>
      </c>
      <c r="R48" s="271">
        <v>0</v>
      </c>
      <c r="S48" s="271">
        <v>0</v>
      </c>
      <c r="T48" s="267">
        <v>523.20000000000005</v>
      </c>
      <c r="U48" s="283"/>
      <c r="V48" s="275"/>
      <c r="W48" s="287" t="s">
        <v>30</v>
      </c>
      <c r="X48" s="295">
        <v>21997</v>
      </c>
      <c r="Y48" s="295">
        <v>23312</v>
      </c>
      <c r="Z48" s="287" t="s">
        <v>233</v>
      </c>
      <c r="AA48" s="285"/>
      <c r="AB48" s="205" t="e">
        <f t="shared" si="2"/>
        <v>#DIV/0!</v>
      </c>
      <c r="AC48" s="198">
        <f t="shared" si="3"/>
        <v>105.97808792108015</v>
      </c>
      <c r="AD48" s="193">
        <v>320266.90000000002</v>
      </c>
      <c r="AE48" s="209"/>
      <c r="AF48" s="193"/>
    </row>
    <row r="49" spans="1:32" ht="363.75" hidden="1" customHeight="1" x14ac:dyDescent="0.25">
      <c r="A49" s="292"/>
      <c r="B49" s="290"/>
      <c r="C49" s="290"/>
      <c r="D49" s="268"/>
      <c r="E49" s="268"/>
      <c r="F49" s="272"/>
      <c r="G49" s="272"/>
      <c r="H49" s="272"/>
      <c r="I49" s="268"/>
      <c r="J49" s="272"/>
      <c r="K49" s="268"/>
      <c r="L49" s="272"/>
      <c r="M49" s="272"/>
      <c r="N49" s="272"/>
      <c r="O49" s="272"/>
      <c r="P49" s="268"/>
      <c r="Q49" s="272"/>
      <c r="R49" s="272"/>
      <c r="S49" s="272"/>
      <c r="T49" s="268"/>
      <c r="U49" s="284"/>
      <c r="V49" s="276"/>
      <c r="W49" s="288"/>
      <c r="X49" s="296"/>
      <c r="Y49" s="296"/>
      <c r="Z49" s="288"/>
      <c r="AA49" s="286"/>
      <c r="AB49" s="205" t="e">
        <f t="shared" si="2"/>
        <v>#DIV/0!</v>
      </c>
      <c r="AC49" s="198" t="e">
        <f t="shared" si="3"/>
        <v>#DIV/0!</v>
      </c>
      <c r="AD49" s="193"/>
      <c r="AE49" s="193"/>
      <c r="AF49" s="193"/>
    </row>
    <row r="50" spans="1:32" ht="388.5" customHeight="1" x14ac:dyDescent="0.25">
      <c r="A50" s="112" t="s">
        <v>56</v>
      </c>
      <c r="B50" s="142" t="s">
        <v>316</v>
      </c>
      <c r="C50" s="142" t="s">
        <v>27</v>
      </c>
      <c r="D50" s="137">
        <v>0</v>
      </c>
      <c r="E50" s="137">
        <v>102309.7</v>
      </c>
      <c r="F50" s="117">
        <v>0</v>
      </c>
      <c r="G50" s="117">
        <v>0</v>
      </c>
      <c r="H50" s="117">
        <v>0</v>
      </c>
      <c r="I50" s="137">
        <v>0</v>
      </c>
      <c r="J50" s="117">
        <v>0</v>
      </c>
      <c r="K50" s="137">
        <v>102309.7</v>
      </c>
      <c r="L50" s="117">
        <v>0</v>
      </c>
      <c r="M50" s="117">
        <v>0</v>
      </c>
      <c r="N50" s="117">
        <v>0</v>
      </c>
      <c r="O50" s="117">
        <v>0</v>
      </c>
      <c r="P50" s="137">
        <v>55313.8</v>
      </c>
      <c r="Q50" s="117">
        <v>0</v>
      </c>
      <c r="R50" s="117">
        <v>0</v>
      </c>
      <c r="S50" s="117">
        <v>0</v>
      </c>
      <c r="T50" s="137">
        <v>716.1</v>
      </c>
      <c r="U50" s="120"/>
      <c r="V50" s="108"/>
      <c r="W50" s="108" t="s">
        <v>30</v>
      </c>
      <c r="X50" s="110">
        <v>159</v>
      </c>
      <c r="Y50" s="110">
        <v>146</v>
      </c>
      <c r="Z50" s="157" t="s">
        <v>233</v>
      </c>
      <c r="AA50" s="116" t="s">
        <v>281</v>
      </c>
      <c r="AB50" s="205">
        <f t="shared" si="2"/>
        <v>54.065059324775667</v>
      </c>
      <c r="AC50" s="198">
        <f t="shared" si="3"/>
        <v>91.823899371069189</v>
      </c>
      <c r="AD50" s="193">
        <v>27903.4</v>
      </c>
      <c r="AE50" s="193"/>
      <c r="AF50" s="193"/>
    </row>
    <row r="51" spans="1:32" ht="408.75" customHeight="1" x14ac:dyDescent="0.25">
      <c r="A51" s="291" t="s">
        <v>57</v>
      </c>
      <c r="B51" s="289" t="s">
        <v>317</v>
      </c>
      <c r="C51" s="289" t="s">
        <v>27</v>
      </c>
      <c r="D51" s="267">
        <v>0</v>
      </c>
      <c r="E51" s="293">
        <v>1492.9</v>
      </c>
      <c r="F51" s="271">
        <v>0</v>
      </c>
      <c r="G51" s="271">
        <v>0</v>
      </c>
      <c r="H51" s="271">
        <v>0</v>
      </c>
      <c r="I51" s="267">
        <v>0</v>
      </c>
      <c r="J51" s="271">
        <v>0</v>
      </c>
      <c r="K51" s="267">
        <v>1492.9</v>
      </c>
      <c r="L51" s="271">
        <v>0</v>
      </c>
      <c r="M51" s="271">
        <v>0</v>
      </c>
      <c r="N51" s="271">
        <v>0</v>
      </c>
      <c r="O51" s="271">
        <v>0</v>
      </c>
      <c r="P51" s="267">
        <v>258.60000000000002</v>
      </c>
      <c r="Q51" s="271">
        <v>0</v>
      </c>
      <c r="R51" s="271">
        <v>0</v>
      </c>
      <c r="S51" s="271">
        <v>0</v>
      </c>
      <c r="T51" s="267">
        <v>0</v>
      </c>
      <c r="U51" s="283"/>
      <c r="V51" s="287"/>
      <c r="W51" s="275" t="s">
        <v>30</v>
      </c>
      <c r="X51" s="275">
        <v>9</v>
      </c>
      <c r="Y51" s="275">
        <v>2</v>
      </c>
      <c r="Z51" s="287" t="s">
        <v>233</v>
      </c>
      <c r="AA51" s="289" t="s">
        <v>281</v>
      </c>
      <c r="AB51" s="205">
        <f t="shared" si="2"/>
        <v>17.321990756246233</v>
      </c>
      <c r="AC51" s="198">
        <f t="shared" si="3"/>
        <v>22.222222222222221</v>
      </c>
      <c r="AD51" s="193">
        <v>258.60000000000002</v>
      </c>
      <c r="AE51" s="193"/>
      <c r="AF51" s="193"/>
    </row>
    <row r="52" spans="1:32" ht="171" customHeight="1" x14ac:dyDescent="0.25">
      <c r="A52" s="292"/>
      <c r="B52" s="290"/>
      <c r="C52" s="290"/>
      <c r="D52" s="268"/>
      <c r="E52" s="294"/>
      <c r="F52" s="272"/>
      <c r="G52" s="272"/>
      <c r="H52" s="272"/>
      <c r="I52" s="268"/>
      <c r="J52" s="272"/>
      <c r="K52" s="268"/>
      <c r="L52" s="272"/>
      <c r="M52" s="272"/>
      <c r="N52" s="272"/>
      <c r="O52" s="272"/>
      <c r="P52" s="268"/>
      <c r="Q52" s="272"/>
      <c r="R52" s="272"/>
      <c r="S52" s="272"/>
      <c r="T52" s="268"/>
      <c r="U52" s="284"/>
      <c r="V52" s="288"/>
      <c r="W52" s="276"/>
      <c r="X52" s="276"/>
      <c r="Y52" s="276"/>
      <c r="Z52" s="288"/>
      <c r="AA52" s="290"/>
      <c r="AB52" s="205" t="e">
        <f t="shared" si="2"/>
        <v>#DIV/0!</v>
      </c>
      <c r="AC52" s="198"/>
      <c r="AD52" s="193"/>
      <c r="AE52" s="193"/>
      <c r="AF52" s="193"/>
    </row>
    <row r="53" spans="1:32" ht="408.75" customHeight="1" x14ac:dyDescent="0.25">
      <c r="A53" s="112" t="s">
        <v>58</v>
      </c>
      <c r="B53" s="142" t="s">
        <v>318</v>
      </c>
      <c r="C53" s="142" t="s">
        <v>27</v>
      </c>
      <c r="D53" s="137">
        <v>0</v>
      </c>
      <c r="E53" s="138">
        <v>17539.2</v>
      </c>
      <c r="F53" s="117">
        <v>0</v>
      </c>
      <c r="G53" s="117">
        <v>0</v>
      </c>
      <c r="H53" s="117">
        <v>0</v>
      </c>
      <c r="I53" s="137">
        <v>0</v>
      </c>
      <c r="J53" s="117">
        <v>0</v>
      </c>
      <c r="K53" s="137">
        <v>17539.2</v>
      </c>
      <c r="L53" s="117">
        <v>0</v>
      </c>
      <c r="M53" s="117">
        <v>0</v>
      </c>
      <c r="N53" s="117">
        <v>0</v>
      </c>
      <c r="O53" s="117">
        <v>0</v>
      </c>
      <c r="P53" s="137">
        <v>8031.2</v>
      </c>
      <c r="Q53" s="117">
        <v>0</v>
      </c>
      <c r="R53" s="117">
        <v>0</v>
      </c>
      <c r="S53" s="117">
        <v>0</v>
      </c>
      <c r="T53" s="137">
        <v>111.2</v>
      </c>
      <c r="U53" s="120"/>
      <c r="V53" s="108"/>
      <c r="W53" s="18" t="s">
        <v>30</v>
      </c>
      <c r="X53" s="110">
        <v>48</v>
      </c>
      <c r="Y53" s="110">
        <v>44</v>
      </c>
      <c r="Z53" s="157" t="s">
        <v>233</v>
      </c>
      <c r="AA53" s="116" t="s">
        <v>281</v>
      </c>
      <c r="AB53" s="205">
        <f t="shared" si="2"/>
        <v>45.790001824484577</v>
      </c>
      <c r="AC53" s="198">
        <f t="shared" si="3"/>
        <v>91.666666666666657</v>
      </c>
      <c r="AD53" s="193">
        <v>4015.2</v>
      </c>
      <c r="AE53" s="193"/>
      <c r="AF53" s="193"/>
    </row>
    <row r="54" spans="1:32" ht="409.5" customHeight="1" x14ac:dyDescent="0.25">
      <c r="A54" s="112" t="s">
        <v>59</v>
      </c>
      <c r="B54" s="142" t="s">
        <v>319</v>
      </c>
      <c r="C54" s="142" t="s">
        <v>27</v>
      </c>
      <c r="D54" s="137">
        <v>0</v>
      </c>
      <c r="E54" s="138">
        <v>123.7</v>
      </c>
      <c r="F54" s="117">
        <v>0</v>
      </c>
      <c r="G54" s="117">
        <v>0</v>
      </c>
      <c r="H54" s="117">
        <v>0</v>
      </c>
      <c r="I54" s="137">
        <v>0</v>
      </c>
      <c r="J54" s="117">
        <v>0</v>
      </c>
      <c r="K54" s="137">
        <v>123.7</v>
      </c>
      <c r="L54" s="117">
        <v>0</v>
      </c>
      <c r="M54" s="117">
        <v>0</v>
      </c>
      <c r="N54" s="117">
        <v>0</v>
      </c>
      <c r="O54" s="117">
        <v>0</v>
      </c>
      <c r="P54" s="137">
        <v>26.5</v>
      </c>
      <c r="Q54" s="117">
        <v>0</v>
      </c>
      <c r="R54" s="117">
        <v>0</v>
      </c>
      <c r="S54" s="117">
        <v>0</v>
      </c>
      <c r="T54" s="137">
        <v>0.3</v>
      </c>
      <c r="U54" s="120"/>
      <c r="V54" s="18"/>
      <c r="W54" s="108" t="s">
        <v>30</v>
      </c>
      <c r="X54" s="110">
        <v>16</v>
      </c>
      <c r="Y54" s="110">
        <v>4</v>
      </c>
      <c r="Z54" s="157" t="s">
        <v>233</v>
      </c>
      <c r="AA54" s="116" t="s">
        <v>281</v>
      </c>
      <c r="AB54" s="205">
        <f t="shared" si="2"/>
        <v>21.422797089733226</v>
      </c>
      <c r="AC54" s="198">
        <f t="shared" si="3"/>
        <v>25</v>
      </c>
      <c r="AD54" s="193">
        <v>26.4</v>
      </c>
      <c r="AE54" s="193"/>
      <c r="AF54" s="193"/>
    </row>
    <row r="55" spans="1:32" ht="381" customHeight="1" x14ac:dyDescent="0.25">
      <c r="A55" s="291" t="s">
        <v>60</v>
      </c>
      <c r="B55" s="289" t="s">
        <v>320</v>
      </c>
      <c r="C55" s="289" t="s">
        <v>27</v>
      </c>
      <c r="D55" s="267">
        <v>0</v>
      </c>
      <c r="E55" s="293">
        <v>46847.1</v>
      </c>
      <c r="F55" s="271">
        <v>0</v>
      </c>
      <c r="G55" s="271">
        <v>0</v>
      </c>
      <c r="H55" s="271">
        <v>0</v>
      </c>
      <c r="I55" s="267">
        <v>0</v>
      </c>
      <c r="J55" s="271">
        <v>0</v>
      </c>
      <c r="K55" s="267">
        <v>46847.1</v>
      </c>
      <c r="L55" s="271">
        <v>0</v>
      </c>
      <c r="M55" s="271">
        <v>0</v>
      </c>
      <c r="N55" s="271">
        <v>0</v>
      </c>
      <c r="O55" s="271">
        <v>0</v>
      </c>
      <c r="P55" s="267">
        <v>21538.799999999999</v>
      </c>
      <c r="Q55" s="271">
        <v>0</v>
      </c>
      <c r="R55" s="271">
        <v>0</v>
      </c>
      <c r="S55" s="271">
        <v>0</v>
      </c>
      <c r="T55" s="267">
        <v>309.10000000000002</v>
      </c>
      <c r="U55" s="283"/>
      <c r="V55" s="287"/>
      <c r="W55" s="287" t="s">
        <v>30</v>
      </c>
      <c r="X55" s="295">
        <v>1471</v>
      </c>
      <c r="Y55" s="295">
        <v>1258</v>
      </c>
      <c r="Z55" s="287" t="s">
        <v>233</v>
      </c>
      <c r="AA55" s="289" t="s">
        <v>281</v>
      </c>
      <c r="AB55" s="205">
        <f t="shared" si="2"/>
        <v>45.976805394570846</v>
      </c>
      <c r="AC55" s="198">
        <f t="shared" si="3"/>
        <v>85.520054384772266</v>
      </c>
      <c r="AD55" s="193">
        <v>10769.4</v>
      </c>
      <c r="AE55" s="193"/>
      <c r="AF55" s="193"/>
    </row>
    <row r="56" spans="1:32" ht="39.75" hidden="1" customHeight="1" x14ac:dyDescent="0.25">
      <c r="A56" s="292"/>
      <c r="B56" s="290"/>
      <c r="C56" s="290"/>
      <c r="D56" s="268"/>
      <c r="E56" s="294"/>
      <c r="F56" s="272"/>
      <c r="G56" s="272"/>
      <c r="H56" s="272"/>
      <c r="I56" s="268"/>
      <c r="J56" s="272"/>
      <c r="K56" s="268"/>
      <c r="L56" s="272"/>
      <c r="M56" s="272"/>
      <c r="N56" s="272"/>
      <c r="O56" s="272"/>
      <c r="P56" s="268"/>
      <c r="Q56" s="272"/>
      <c r="R56" s="272"/>
      <c r="S56" s="272"/>
      <c r="T56" s="268"/>
      <c r="U56" s="284"/>
      <c r="V56" s="288"/>
      <c r="W56" s="288"/>
      <c r="X56" s="296"/>
      <c r="Y56" s="296"/>
      <c r="Z56" s="288"/>
      <c r="AA56" s="290"/>
      <c r="AB56" s="205" t="e">
        <f t="shared" si="2"/>
        <v>#DIV/0!</v>
      </c>
      <c r="AC56" s="198" t="e">
        <f t="shared" si="3"/>
        <v>#DIV/0!</v>
      </c>
      <c r="AD56" s="193"/>
      <c r="AE56" s="193"/>
      <c r="AF56" s="193"/>
    </row>
    <row r="57" spans="1:32" ht="404.25" customHeight="1" x14ac:dyDescent="0.25">
      <c r="A57" s="155" t="s">
        <v>61</v>
      </c>
      <c r="B57" s="142" t="s">
        <v>321</v>
      </c>
      <c r="C57" s="142" t="s">
        <v>27</v>
      </c>
      <c r="D57" s="137">
        <v>0</v>
      </c>
      <c r="E57" s="138">
        <v>1695349.1</v>
      </c>
      <c r="F57" s="111">
        <v>0</v>
      </c>
      <c r="G57" s="111">
        <v>0</v>
      </c>
      <c r="H57" s="111">
        <v>0</v>
      </c>
      <c r="I57" s="137">
        <v>0</v>
      </c>
      <c r="J57" s="111">
        <v>0</v>
      </c>
      <c r="K57" s="137">
        <v>1695349.1</v>
      </c>
      <c r="L57" s="111">
        <v>0</v>
      </c>
      <c r="M57" s="111">
        <v>0</v>
      </c>
      <c r="N57" s="111">
        <v>0</v>
      </c>
      <c r="O57" s="111">
        <v>0</v>
      </c>
      <c r="P57" s="137">
        <v>688403.3</v>
      </c>
      <c r="Q57" s="111">
        <v>0</v>
      </c>
      <c r="R57" s="111">
        <v>0</v>
      </c>
      <c r="S57" s="111">
        <v>0</v>
      </c>
      <c r="T57" s="137">
        <v>0</v>
      </c>
      <c r="U57" s="211"/>
      <c r="V57" s="110"/>
      <c r="W57" s="157" t="s">
        <v>62</v>
      </c>
      <c r="X57" s="214">
        <v>433.4</v>
      </c>
      <c r="Y57" s="251">
        <v>359.7</v>
      </c>
      <c r="Z57" s="157" t="s">
        <v>233</v>
      </c>
      <c r="AA57" s="116" t="s">
        <v>281</v>
      </c>
      <c r="AB57" s="205">
        <f t="shared" si="2"/>
        <v>40.605400976117544</v>
      </c>
      <c r="AC57" s="198">
        <f t="shared" si="3"/>
        <v>82.994923857868017</v>
      </c>
      <c r="AD57" s="193">
        <v>318849.09999999998</v>
      </c>
      <c r="AE57" s="193"/>
      <c r="AF57" s="193"/>
    </row>
    <row r="58" spans="1:32" ht="409.6" customHeight="1" x14ac:dyDescent="0.25">
      <c r="A58" s="155" t="s">
        <v>63</v>
      </c>
      <c r="B58" s="142" t="s">
        <v>322</v>
      </c>
      <c r="C58" s="142" t="s">
        <v>27</v>
      </c>
      <c r="D58" s="137">
        <v>0</v>
      </c>
      <c r="E58" s="138">
        <v>15015</v>
      </c>
      <c r="F58" s="111">
        <v>0</v>
      </c>
      <c r="G58" s="111">
        <v>0</v>
      </c>
      <c r="H58" s="111">
        <v>0</v>
      </c>
      <c r="I58" s="137">
        <v>0</v>
      </c>
      <c r="J58" s="111">
        <v>0</v>
      </c>
      <c r="K58" s="137">
        <v>15015</v>
      </c>
      <c r="L58" s="111">
        <v>0</v>
      </c>
      <c r="M58" s="111">
        <v>0</v>
      </c>
      <c r="N58" s="111">
        <v>0</v>
      </c>
      <c r="O58" s="111">
        <v>0</v>
      </c>
      <c r="P58" s="137">
        <v>2320.5</v>
      </c>
      <c r="Q58" s="111">
        <v>0</v>
      </c>
      <c r="R58" s="111">
        <v>0</v>
      </c>
      <c r="S58" s="111">
        <v>0</v>
      </c>
      <c r="T58" s="137">
        <v>0</v>
      </c>
      <c r="U58" s="211"/>
      <c r="V58" s="110"/>
      <c r="W58" s="157" t="s">
        <v>64</v>
      </c>
      <c r="X58" s="109">
        <v>25000</v>
      </c>
      <c r="Y58" s="115">
        <v>2110</v>
      </c>
      <c r="Z58" s="157" t="s">
        <v>233</v>
      </c>
      <c r="AA58" s="116" t="s">
        <v>281</v>
      </c>
      <c r="AB58" s="205">
        <f t="shared" si="2"/>
        <v>15.454545454545453</v>
      </c>
      <c r="AC58" s="198">
        <f t="shared" si="3"/>
        <v>8.44</v>
      </c>
      <c r="AD58" s="193">
        <v>970</v>
      </c>
      <c r="AE58" s="193"/>
      <c r="AF58" s="193"/>
    </row>
    <row r="59" spans="1:32" ht="317.25" x14ac:dyDescent="0.25">
      <c r="A59" s="155" t="s">
        <v>235</v>
      </c>
      <c r="B59" s="142" t="s">
        <v>323</v>
      </c>
      <c r="C59" s="142" t="s">
        <v>27</v>
      </c>
      <c r="D59" s="137">
        <v>0</v>
      </c>
      <c r="E59" s="138">
        <v>791975.7</v>
      </c>
      <c r="F59" s="113">
        <v>0</v>
      </c>
      <c r="G59" s="111">
        <v>0</v>
      </c>
      <c r="H59" s="111">
        <v>0</v>
      </c>
      <c r="I59" s="137">
        <v>0</v>
      </c>
      <c r="J59" s="111">
        <v>0</v>
      </c>
      <c r="K59" s="137">
        <v>791975.7</v>
      </c>
      <c r="L59" s="111">
        <v>0</v>
      </c>
      <c r="M59" s="111">
        <v>0</v>
      </c>
      <c r="N59" s="111">
        <v>0</v>
      </c>
      <c r="O59" s="111">
        <v>0</v>
      </c>
      <c r="P59" s="137">
        <v>349912.3</v>
      </c>
      <c r="Q59" s="111">
        <v>0</v>
      </c>
      <c r="R59" s="111">
        <v>0</v>
      </c>
      <c r="S59" s="111">
        <v>0</v>
      </c>
      <c r="T59" s="137">
        <v>4855.5</v>
      </c>
      <c r="U59" s="114"/>
      <c r="V59" s="110"/>
      <c r="W59" s="157" t="s">
        <v>30</v>
      </c>
      <c r="X59" s="115">
        <v>75860</v>
      </c>
      <c r="Y59" s="115">
        <v>54912</v>
      </c>
      <c r="Z59" s="157" t="s">
        <v>233</v>
      </c>
      <c r="AA59" s="116" t="s">
        <v>281</v>
      </c>
      <c r="AB59" s="205">
        <f t="shared" si="2"/>
        <v>44.18220154987079</v>
      </c>
      <c r="AC59" s="198">
        <f t="shared" si="3"/>
        <v>72.385974162931717</v>
      </c>
      <c r="AD59" s="193">
        <v>158618.4</v>
      </c>
      <c r="AE59" s="193"/>
      <c r="AF59" s="193"/>
    </row>
    <row r="60" spans="1:32" ht="409.5" customHeight="1" x14ac:dyDescent="0.25">
      <c r="A60" s="155" t="s">
        <v>236</v>
      </c>
      <c r="B60" s="142" t="s">
        <v>324</v>
      </c>
      <c r="C60" s="142" t="s">
        <v>27</v>
      </c>
      <c r="D60" s="137">
        <v>872276.7</v>
      </c>
      <c r="E60" s="138">
        <v>296115</v>
      </c>
      <c r="F60" s="118">
        <v>0</v>
      </c>
      <c r="G60" s="117">
        <v>0</v>
      </c>
      <c r="H60" s="117">
        <v>0</v>
      </c>
      <c r="I60" s="137">
        <v>872276.7</v>
      </c>
      <c r="J60" s="117">
        <v>0</v>
      </c>
      <c r="K60" s="137">
        <v>296115</v>
      </c>
      <c r="L60" s="117">
        <v>0</v>
      </c>
      <c r="M60" s="117">
        <v>0</v>
      </c>
      <c r="N60" s="117">
        <v>75887.199999999997</v>
      </c>
      <c r="O60" s="117">
        <v>0</v>
      </c>
      <c r="P60" s="137">
        <v>24258.7</v>
      </c>
      <c r="Q60" s="117">
        <v>0</v>
      </c>
      <c r="R60" s="117">
        <v>0</v>
      </c>
      <c r="S60" s="117">
        <v>0</v>
      </c>
      <c r="T60" s="137">
        <v>294.2</v>
      </c>
      <c r="U60" s="120"/>
      <c r="V60" s="18"/>
      <c r="W60" s="108" t="s">
        <v>30</v>
      </c>
      <c r="X60" s="115">
        <v>8315</v>
      </c>
      <c r="Y60" s="115">
        <v>1141</v>
      </c>
      <c r="Z60" s="157" t="s">
        <v>233</v>
      </c>
      <c r="AA60" s="116" t="s">
        <v>282</v>
      </c>
      <c r="AB60" s="205">
        <f t="shared" si="2"/>
        <v>8.1923239282035691</v>
      </c>
      <c r="AC60" s="198">
        <f t="shared" si="3"/>
        <v>13.722188815393865</v>
      </c>
      <c r="AD60" s="193">
        <v>0</v>
      </c>
      <c r="AE60" s="193"/>
      <c r="AF60" s="193"/>
    </row>
    <row r="61" spans="1:32" ht="394.5" customHeight="1" x14ac:dyDescent="0.25">
      <c r="A61" s="210" t="s">
        <v>237</v>
      </c>
      <c r="B61" s="145" t="s">
        <v>325</v>
      </c>
      <c r="C61" s="145" t="s">
        <v>27</v>
      </c>
      <c r="D61" s="137">
        <v>45874.7</v>
      </c>
      <c r="E61" s="138">
        <v>0</v>
      </c>
      <c r="F61" s="118">
        <v>0</v>
      </c>
      <c r="G61" s="117">
        <v>0</v>
      </c>
      <c r="H61" s="117">
        <v>0</v>
      </c>
      <c r="I61" s="137">
        <v>45874.7</v>
      </c>
      <c r="J61" s="117">
        <v>0</v>
      </c>
      <c r="K61" s="137">
        <v>0</v>
      </c>
      <c r="L61" s="117">
        <v>0</v>
      </c>
      <c r="M61" s="117">
        <v>0</v>
      </c>
      <c r="N61" s="117">
        <v>23654.400000000001</v>
      </c>
      <c r="O61" s="117">
        <v>0</v>
      </c>
      <c r="P61" s="137">
        <v>0</v>
      </c>
      <c r="Q61" s="117">
        <v>0</v>
      </c>
      <c r="R61" s="117">
        <v>0</v>
      </c>
      <c r="S61" s="117">
        <v>0</v>
      </c>
      <c r="T61" s="137">
        <v>0</v>
      </c>
      <c r="U61" s="120"/>
      <c r="V61" s="18"/>
      <c r="W61" s="108" t="s">
        <v>30</v>
      </c>
      <c r="X61" s="115">
        <v>27</v>
      </c>
      <c r="Y61" s="115">
        <v>7</v>
      </c>
      <c r="Z61" s="157" t="s">
        <v>233</v>
      </c>
      <c r="AA61" s="116" t="s">
        <v>282</v>
      </c>
      <c r="AB61" s="205" t="e">
        <f t="shared" si="2"/>
        <v>#DIV/0!</v>
      </c>
      <c r="AC61" s="198"/>
      <c r="AD61" s="193">
        <v>0</v>
      </c>
      <c r="AE61" s="193"/>
      <c r="AF61" s="193"/>
    </row>
    <row r="62" spans="1:32" ht="409.6" customHeight="1" x14ac:dyDescent="0.25">
      <c r="A62" s="112" t="s">
        <v>67</v>
      </c>
      <c r="B62" s="142" t="s">
        <v>326</v>
      </c>
      <c r="C62" s="142" t="s">
        <v>27</v>
      </c>
      <c r="D62" s="137">
        <v>57361.5</v>
      </c>
      <c r="E62" s="138">
        <v>0</v>
      </c>
      <c r="F62" s="113">
        <v>0</v>
      </c>
      <c r="G62" s="111">
        <v>0</v>
      </c>
      <c r="H62" s="111">
        <v>0</v>
      </c>
      <c r="I62" s="137">
        <v>57361.5</v>
      </c>
      <c r="J62" s="111">
        <v>0</v>
      </c>
      <c r="K62" s="137">
        <v>0</v>
      </c>
      <c r="L62" s="111">
        <v>0</v>
      </c>
      <c r="M62" s="111">
        <v>0</v>
      </c>
      <c r="N62" s="111">
        <v>1693.4</v>
      </c>
      <c r="O62" s="111">
        <v>0</v>
      </c>
      <c r="P62" s="137">
        <v>0</v>
      </c>
      <c r="Q62" s="111">
        <v>0</v>
      </c>
      <c r="R62" s="111">
        <v>0</v>
      </c>
      <c r="S62" s="111">
        <v>0</v>
      </c>
      <c r="T62" s="137">
        <v>0</v>
      </c>
      <c r="U62" s="120"/>
      <c r="V62" s="110"/>
      <c r="W62" s="157" t="s">
        <v>30</v>
      </c>
      <c r="X62" s="115">
        <v>68</v>
      </c>
      <c r="Y62" s="115">
        <v>3</v>
      </c>
      <c r="Z62" s="157" t="s">
        <v>233</v>
      </c>
      <c r="AA62" s="116" t="s">
        <v>282</v>
      </c>
      <c r="AB62" s="205" t="e">
        <f t="shared" si="2"/>
        <v>#DIV/0!</v>
      </c>
      <c r="AC62" s="198">
        <f t="shared" si="3"/>
        <v>4.4117647058823533</v>
      </c>
      <c r="AD62" s="193">
        <v>0</v>
      </c>
      <c r="AE62" s="193"/>
      <c r="AF62" s="193"/>
    </row>
    <row r="63" spans="1:32" ht="408.75" customHeight="1" x14ac:dyDescent="0.25">
      <c r="A63" s="112" t="s">
        <v>68</v>
      </c>
      <c r="B63" s="142" t="s">
        <v>327</v>
      </c>
      <c r="C63" s="121" t="s">
        <v>27</v>
      </c>
      <c r="D63" s="137">
        <v>34687.800000000003</v>
      </c>
      <c r="E63" s="137">
        <v>0</v>
      </c>
      <c r="F63" s="117" t="s">
        <v>69</v>
      </c>
      <c r="G63" s="117" t="s">
        <v>69</v>
      </c>
      <c r="H63" s="117" t="s">
        <v>69</v>
      </c>
      <c r="I63" s="137">
        <v>34687.800000000003</v>
      </c>
      <c r="J63" s="117" t="s">
        <v>69</v>
      </c>
      <c r="K63" s="137">
        <v>0</v>
      </c>
      <c r="L63" s="117" t="s">
        <v>69</v>
      </c>
      <c r="M63" s="117"/>
      <c r="N63" s="117">
        <v>27941.200000000001</v>
      </c>
      <c r="O63" s="117" t="s">
        <v>69</v>
      </c>
      <c r="P63" s="137">
        <v>0</v>
      </c>
      <c r="Q63" s="117" t="s">
        <v>69</v>
      </c>
      <c r="R63" s="117" t="s">
        <v>69</v>
      </c>
      <c r="S63" s="117" t="s">
        <v>69</v>
      </c>
      <c r="T63" s="137">
        <v>0</v>
      </c>
      <c r="U63" s="120"/>
      <c r="V63" s="112"/>
      <c r="W63" s="112" t="s">
        <v>70</v>
      </c>
      <c r="X63" s="112" t="s">
        <v>252</v>
      </c>
      <c r="Y63" s="112" t="s">
        <v>393</v>
      </c>
      <c r="Z63" s="157" t="s">
        <v>233</v>
      </c>
      <c r="AA63" s="116" t="s">
        <v>282</v>
      </c>
      <c r="AB63" s="205" t="e">
        <f t="shared" si="2"/>
        <v>#DIV/0!</v>
      </c>
      <c r="AC63" s="198">
        <f t="shared" si="3"/>
        <v>12.195121951219512</v>
      </c>
      <c r="AD63" s="193">
        <v>0</v>
      </c>
      <c r="AE63" s="193"/>
      <c r="AF63" s="193"/>
    </row>
    <row r="64" spans="1:32" ht="408.75" customHeight="1" x14ac:dyDescent="0.25">
      <c r="A64" s="112" t="s">
        <v>228</v>
      </c>
      <c r="B64" s="142" t="s">
        <v>328</v>
      </c>
      <c r="C64" s="121" t="s">
        <v>27</v>
      </c>
      <c r="D64" s="137">
        <v>0</v>
      </c>
      <c r="E64" s="137">
        <v>57360</v>
      </c>
      <c r="F64" s="117">
        <v>0</v>
      </c>
      <c r="G64" s="117">
        <v>0</v>
      </c>
      <c r="H64" s="117">
        <v>0</v>
      </c>
      <c r="I64" s="137"/>
      <c r="J64" s="117"/>
      <c r="K64" s="137">
        <v>57360</v>
      </c>
      <c r="L64" s="117">
        <v>0</v>
      </c>
      <c r="M64" s="117">
        <v>0</v>
      </c>
      <c r="N64" s="117">
        <v>0</v>
      </c>
      <c r="O64" s="117">
        <v>0</v>
      </c>
      <c r="P64" s="137">
        <v>5588.4</v>
      </c>
      <c r="Q64" s="117">
        <v>0</v>
      </c>
      <c r="R64" s="117">
        <v>0</v>
      </c>
      <c r="S64" s="117">
        <v>0</v>
      </c>
      <c r="T64" s="137">
        <v>78.400000000000006</v>
      </c>
      <c r="U64" s="120"/>
      <c r="V64" s="112"/>
      <c r="W64" s="112" t="s">
        <v>30</v>
      </c>
      <c r="X64" s="112" t="s">
        <v>385</v>
      </c>
      <c r="Y64" s="112" t="s">
        <v>394</v>
      </c>
      <c r="Z64" s="112" t="s">
        <v>233</v>
      </c>
      <c r="AA64" s="116" t="s">
        <v>281</v>
      </c>
      <c r="AB64" s="205">
        <f t="shared" si="2"/>
        <v>9.7426778242677816</v>
      </c>
      <c r="AC64" s="198">
        <f t="shared" si="3"/>
        <v>9.7848716169326853</v>
      </c>
      <c r="AD64" s="193">
        <v>2763.8</v>
      </c>
      <c r="AE64" s="193"/>
      <c r="AF64" s="193"/>
    </row>
    <row r="65" spans="1:34" ht="153" customHeight="1" x14ac:dyDescent="0.6">
      <c r="A65" s="112" t="s">
        <v>71</v>
      </c>
      <c r="B65" s="11" t="s">
        <v>72</v>
      </c>
      <c r="C65" s="11"/>
      <c r="D65" s="136">
        <f>D66+D69+D75+D76+D78+D79+D80+D82+D77</f>
        <v>0</v>
      </c>
      <c r="E65" s="136">
        <f>E66+E69+E75+E76+E78+E79+E80+E82+E77+E84+E83</f>
        <v>12164765</v>
      </c>
      <c r="F65" s="12">
        <f>F66+F69+F75+F76+F78+F79+F80+F82+F77</f>
        <v>0</v>
      </c>
      <c r="G65" s="12">
        <f>G66+G69+G75+G76+G78+G79+G80+G82+G77</f>
        <v>0</v>
      </c>
      <c r="H65" s="12">
        <f>H66+H69+H75+H76+H78+H79+H80+H82+H77</f>
        <v>0</v>
      </c>
      <c r="I65" s="136">
        <f>I66+I69+I75+I76+I78+I79+I80+I82+I77</f>
        <v>0</v>
      </c>
      <c r="J65" s="12">
        <f>J66+J69+J75+J76+J78+J79+J80+J82+J77</f>
        <v>0</v>
      </c>
      <c r="K65" s="136">
        <f>K66+K69+K75+K76+K78+K79+K80+K82+K77+K83+K84</f>
        <v>12164765</v>
      </c>
      <c r="L65" s="12">
        <f t="shared" ref="L65:T65" si="4">L66+L69+L75+L76+L78+L79+L80+L82+L77</f>
        <v>0</v>
      </c>
      <c r="M65" s="12">
        <f t="shared" si="4"/>
        <v>0</v>
      </c>
      <c r="N65" s="12">
        <f t="shared" si="4"/>
        <v>0</v>
      </c>
      <c r="O65" s="12">
        <f t="shared" si="4"/>
        <v>0</v>
      </c>
      <c r="P65" s="136">
        <f>P66+P69+P75+P76+P78+P79+P80+P82+P77+P84+P83</f>
        <v>5590326.1299999999</v>
      </c>
      <c r="Q65" s="12">
        <f t="shared" si="4"/>
        <v>0</v>
      </c>
      <c r="R65" s="12">
        <f t="shared" si="4"/>
        <v>0</v>
      </c>
      <c r="S65" s="12">
        <f t="shared" si="4"/>
        <v>0</v>
      </c>
      <c r="T65" s="136">
        <f t="shared" si="4"/>
        <v>470037.00000000006</v>
      </c>
      <c r="U65" s="10" t="s">
        <v>24</v>
      </c>
      <c r="V65" s="10" t="s">
        <v>24</v>
      </c>
      <c r="W65" s="10" t="s">
        <v>24</v>
      </c>
      <c r="X65" s="10" t="s">
        <v>24</v>
      </c>
      <c r="Y65" s="10"/>
      <c r="Z65" s="10" t="s">
        <v>24</v>
      </c>
      <c r="AA65" s="19"/>
      <c r="AB65" s="205">
        <f t="shared" si="2"/>
        <v>45.955068840211872</v>
      </c>
      <c r="AC65" s="198"/>
      <c r="AD65" s="193"/>
      <c r="AE65" s="193"/>
      <c r="AF65" s="193"/>
      <c r="AH65" s="14"/>
    </row>
    <row r="66" spans="1:34" ht="246.75" x14ac:dyDescent="0.25">
      <c r="A66" s="112" t="s">
        <v>73</v>
      </c>
      <c r="B66" s="142" t="s">
        <v>329</v>
      </c>
      <c r="C66" s="142" t="s">
        <v>27</v>
      </c>
      <c r="D66" s="137">
        <v>0</v>
      </c>
      <c r="E66" s="138">
        <f>E67+E68</f>
        <v>12460.7</v>
      </c>
      <c r="F66" s="111">
        <v>0</v>
      </c>
      <c r="G66" s="111">
        <v>0</v>
      </c>
      <c r="H66" s="111">
        <v>0</v>
      </c>
      <c r="I66" s="137">
        <v>0</v>
      </c>
      <c r="J66" s="111">
        <v>0</v>
      </c>
      <c r="K66" s="137">
        <f>K67+K68</f>
        <v>12460.7</v>
      </c>
      <c r="L66" s="111">
        <v>0</v>
      </c>
      <c r="M66" s="111">
        <v>0</v>
      </c>
      <c r="N66" s="111">
        <v>0</v>
      </c>
      <c r="O66" s="111">
        <v>0</v>
      </c>
      <c r="P66" s="137">
        <f>P67+P68</f>
        <v>4369.2</v>
      </c>
      <c r="Q66" s="111">
        <v>0</v>
      </c>
      <c r="R66" s="111">
        <v>0</v>
      </c>
      <c r="S66" s="111">
        <v>0</v>
      </c>
      <c r="T66" s="137">
        <f>T67+T68</f>
        <v>4292.2999999999993</v>
      </c>
      <c r="U66" s="114"/>
      <c r="V66" s="110"/>
      <c r="W66" s="110" t="s">
        <v>30</v>
      </c>
      <c r="X66" s="115">
        <v>2275</v>
      </c>
      <c r="Y66" s="115">
        <v>736</v>
      </c>
      <c r="Z66" s="157" t="s">
        <v>233</v>
      </c>
      <c r="AA66" s="158" t="s">
        <v>281</v>
      </c>
      <c r="AB66" s="205">
        <f t="shared" si="2"/>
        <v>35.063840715208613</v>
      </c>
      <c r="AC66" s="198">
        <f t="shared" si="3"/>
        <v>32.351648351648358</v>
      </c>
      <c r="AD66" s="193">
        <f>AD67+AD68</f>
        <v>1457.6</v>
      </c>
      <c r="AE66" s="193"/>
      <c r="AF66" s="193"/>
    </row>
    <row r="67" spans="1:34" ht="211.5" x14ac:dyDescent="0.25">
      <c r="A67" s="112" t="s">
        <v>26</v>
      </c>
      <c r="B67" s="142" t="s">
        <v>75</v>
      </c>
      <c r="C67" s="142" t="s">
        <v>27</v>
      </c>
      <c r="D67" s="137">
        <v>0</v>
      </c>
      <c r="E67" s="137">
        <v>7308</v>
      </c>
      <c r="F67" s="111">
        <v>0</v>
      </c>
      <c r="G67" s="111">
        <v>0</v>
      </c>
      <c r="H67" s="111">
        <v>0</v>
      </c>
      <c r="I67" s="137">
        <v>0</v>
      </c>
      <c r="J67" s="111">
        <v>0</v>
      </c>
      <c r="K67" s="137">
        <v>7308</v>
      </c>
      <c r="L67" s="111">
        <v>0</v>
      </c>
      <c r="M67" s="111">
        <v>0</v>
      </c>
      <c r="N67" s="111">
        <v>0</v>
      </c>
      <c r="O67" s="111">
        <v>0</v>
      </c>
      <c r="P67" s="137">
        <v>1431.8</v>
      </c>
      <c r="Q67" s="111">
        <v>0</v>
      </c>
      <c r="R67" s="111">
        <v>0</v>
      </c>
      <c r="S67" s="111">
        <v>0</v>
      </c>
      <c r="T67" s="137">
        <v>1388.6</v>
      </c>
      <c r="U67" s="125"/>
      <c r="V67" s="110" t="s">
        <v>24</v>
      </c>
      <c r="W67" s="110" t="s">
        <v>24</v>
      </c>
      <c r="X67" s="110">
        <v>1119</v>
      </c>
      <c r="Y67" s="110">
        <v>436</v>
      </c>
      <c r="Z67" s="110" t="s">
        <v>24</v>
      </c>
      <c r="AA67" s="164" t="s">
        <v>281</v>
      </c>
      <c r="AB67" s="205">
        <f t="shared" si="2"/>
        <v>19.59222769567597</v>
      </c>
      <c r="AC67" s="198"/>
      <c r="AD67" s="193">
        <v>347.3</v>
      </c>
      <c r="AE67" s="193"/>
      <c r="AF67" s="193"/>
    </row>
    <row r="68" spans="1:34" ht="211.5" x14ac:dyDescent="0.25">
      <c r="A68" s="112" t="s">
        <v>76</v>
      </c>
      <c r="B68" s="142" t="s">
        <v>77</v>
      </c>
      <c r="C68" s="142" t="s">
        <v>27</v>
      </c>
      <c r="D68" s="137">
        <v>0</v>
      </c>
      <c r="E68" s="137">
        <v>5152.7</v>
      </c>
      <c r="F68" s="111">
        <v>0</v>
      </c>
      <c r="G68" s="111">
        <v>0</v>
      </c>
      <c r="H68" s="111">
        <v>0</v>
      </c>
      <c r="I68" s="137">
        <v>0</v>
      </c>
      <c r="J68" s="111">
        <v>0</v>
      </c>
      <c r="K68" s="137">
        <v>5152.7</v>
      </c>
      <c r="L68" s="111">
        <v>0</v>
      </c>
      <c r="M68" s="111">
        <v>0</v>
      </c>
      <c r="N68" s="111">
        <v>0</v>
      </c>
      <c r="O68" s="111">
        <v>0</v>
      </c>
      <c r="P68" s="137">
        <v>2937.4</v>
      </c>
      <c r="Q68" s="111">
        <v>0</v>
      </c>
      <c r="R68" s="111">
        <v>0</v>
      </c>
      <c r="S68" s="111">
        <v>0</v>
      </c>
      <c r="T68" s="137">
        <f>2888.2+15.5</f>
        <v>2903.7</v>
      </c>
      <c r="U68" s="114"/>
      <c r="V68" s="110" t="s">
        <v>24</v>
      </c>
      <c r="W68" s="110" t="s">
        <v>24</v>
      </c>
      <c r="X68" s="110">
        <v>1156</v>
      </c>
      <c r="Y68" s="110">
        <v>300</v>
      </c>
      <c r="Z68" s="110" t="s">
        <v>24</v>
      </c>
      <c r="AA68" s="164" t="s">
        <v>281</v>
      </c>
      <c r="AB68" s="205">
        <f t="shared" si="2"/>
        <v>57.007006035670628</v>
      </c>
      <c r="AC68" s="198"/>
      <c r="AD68" s="193">
        <v>1110.3</v>
      </c>
      <c r="AE68" s="193"/>
      <c r="AF68" s="193"/>
    </row>
    <row r="69" spans="1:34" ht="308.25" customHeight="1" x14ac:dyDescent="0.25">
      <c r="A69" s="112" t="s">
        <v>78</v>
      </c>
      <c r="B69" s="142" t="s">
        <v>79</v>
      </c>
      <c r="C69" s="142" t="s">
        <v>27</v>
      </c>
      <c r="D69" s="137">
        <v>0</v>
      </c>
      <c r="E69" s="137">
        <f>E70+E71</f>
        <v>12066955.300000001</v>
      </c>
      <c r="F69" s="111">
        <v>0</v>
      </c>
      <c r="G69" s="111">
        <v>0</v>
      </c>
      <c r="H69" s="111">
        <v>0</v>
      </c>
      <c r="I69" s="137">
        <v>0</v>
      </c>
      <c r="J69" s="111">
        <v>0</v>
      </c>
      <c r="K69" s="137">
        <f>K70+K71</f>
        <v>12066955.300000001</v>
      </c>
      <c r="L69" s="111">
        <v>0</v>
      </c>
      <c r="M69" s="111">
        <v>0</v>
      </c>
      <c r="N69" s="111">
        <v>0</v>
      </c>
      <c r="O69" s="111">
        <v>0</v>
      </c>
      <c r="P69" s="137">
        <f>P70+P71</f>
        <v>5562988.5999999996</v>
      </c>
      <c r="Q69" s="111">
        <v>0</v>
      </c>
      <c r="R69" s="111">
        <v>0</v>
      </c>
      <c r="S69" s="111">
        <v>0</v>
      </c>
      <c r="T69" s="137">
        <f>T70+T72+T73+T74</f>
        <v>455584.10000000003</v>
      </c>
      <c r="U69" s="119"/>
      <c r="V69" s="110" t="s">
        <v>24</v>
      </c>
      <c r="W69" s="110" t="s">
        <v>24</v>
      </c>
      <c r="X69" s="110" t="s">
        <v>24</v>
      </c>
      <c r="Y69" s="110"/>
      <c r="Z69" s="110" t="s">
        <v>24</v>
      </c>
      <c r="AA69" s="13"/>
      <c r="AB69" s="205">
        <f t="shared" si="2"/>
        <v>46.101012738482581</v>
      </c>
      <c r="AC69" s="198"/>
      <c r="AD69" s="193">
        <v>2254760.2999999998</v>
      </c>
      <c r="AE69" s="193"/>
      <c r="AF69" s="193"/>
    </row>
    <row r="70" spans="1:34" ht="409.6" customHeight="1" x14ac:dyDescent="0.25">
      <c r="A70" s="112" t="s">
        <v>80</v>
      </c>
      <c r="B70" s="142" t="s">
        <v>81</v>
      </c>
      <c r="C70" s="142" t="s">
        <v>27</v>
      </c>
      <c r="D70" s="137">
        <v>0</v>
      </c>
      <c r="E70" s="137">
        <v>1685297.3</v>
      </c>
      <c r="F70" s="117">
        <v>0</v>
      </c>
      <c r="G70" s="117">
        <v>0</v>
      </c>
      <c r="H70" s="117">
        <v>0</v>
      </c>
      <c r="I70" s="137">
        <v>0</v>
      </c>
      <c r="J70" s="117">
        <v>0</v>
      </c>
      <c r="K70" s="137">
        <v>1685297.3</v>
      </c>
      <c r="L70" s="117">
        <v>0</v>
      </c>
      <c r="M70" s="117">
        <v>0</v>
      </c>
      <c r="N70" s="117">
        <v>0</v>
      </c>
      <c r="O70" s="117">
        <v>0</v>
      </c>
      <c r="P70" s="137">
        <v>542572.80000000005</v>
      </c>
      <c r="Q70" s="117">
        <v>0</v>
      </c>
      <c r="R70" s="117">
        <v>0</v>
      </c>
      <c r="S70" s="117">
        <v>0</v>
      </c>
      <c r="T70" s="137">
        <v>52917.9</v>
      </c>
      <c r="U70" s="119"/>
      <c r="V70" s="18"/>
      <c r="W70" s="108" t="s">
        <v>82</v>
      </c>
      <c r="X70" s="110">
        <v>100</v>
      </c>
      <c r="Y70" s="110">
        <v>100</v>
      </c>
      <c r="Z70" s="157" t="s">
        <v>233</v>
      </c>
      <c r="AA70" s="164" t="s">
        <v>281</v>
      </c>
      <c r="AB70" s="205">
        <f t="shared" si="2"/>
        <v>32.194485803780736</v>
      </c>
      <c r="AC70" s="198">
        <f t="shared" si="3"/>
        <v>100</v>
      </c>
      <c r="AD70" s="193">
        <v>148861</v>
      </c>
      <c r="AE70" s="193"/>
      <c r="AF70" s="193"/>
    </row>
    <row r="71" spans="1:34" ht="211.5" x14ac:dyDescent="0.25">
      <c r="A71" s="112" t="s">
        <v>83</v>
      </c>
      <c r="B71" s="142" t="s">
        <v>84</v>
      </c>
      <c r="C71" s="142" t="s">
        <v>27</v>
      </c>
      <c r="D71" s="137">
        <v>0</v>
      </c>
      <c r="E71" s="138">
        <f>E72+E73+E74</f>
        <v>10381658</v>
      </c>
      <c r="F71" s="113">
        <v>0</v>
      </c>
      <c r="G71" s="111">
        <v>0</v>
      </c>
      <c r="H71" s="111">
        <v>0</v>
      </c>
      <c r="I71" s="137">
        <v>0</v>
      </c>
      <c r="J71" s="111">
        <v>0</v>
      </c>
      <c r="K71" s="137">
        <f>K72+K73+K74</f>
        <v>10381658</v>
      </c>
      <c r="L71" s="111">
        <v>0</v>
      </c>
      <c r="M71" s="111">
        <v>0</v>
      </c>
      <c r="N71" s="111">
        <v>0</v>
      </c>
      <c r="O71" s="111">
        <v>0</v>
      </c>
      <c r="P71" s="137">
        <f>P72+P73+P74</f>
        <v>5020415.8</v>
      </c>
      <c r="Q71" s="111">
        <v>0</v>
      </c>
      <c r="R71" s="111">
        <v>0</v>
      </c>
      <c r="S71" s="111">
        <v>0</v>
      </c>
      <c r="T71" s="137">
        <f>T72+T73+T74</f>
        <v>402666.2</v>
      </c>
      <c r="U71" s="110"/>
      <c r="V71" s="110" t="s">
        <v>24</v>
      </c>
      <c r="W71" s="110" t="s">
        <v>24</v>
      </c>
      <c r="X71" s="110" t="s">
        <v>24</v>
      </c>
      <c r="Y71" s="110"/>
      <c r="Z71" s="110" t="s">
        <v>24</v>
      </c>
      <c r="AA71" s="13"/>
      <c r="AB71" s="205">
        <f t="shared" si="2"/>
        <v>48.35851652982597</v>
      </c>
      <c r="AC71" s="198"/>
      <c r="AD71" s="193">
        <v>2105899.2999999998</v>
      </c>
      <c r="AE71" s="193"/>
      <c r="AF71" s="193"/>
    </row>
    <row r="72" spans="1:34" ht="394.5" customHeight="1" x14ac:dyDescent="0.25">
      <c r="A72" s="112" t="s">
        <v>85</v>
      </c>
      <c r="B72" s="190" t="s">
        <v>86</v>
      </c>
      <c r="C72" s="190" t="s">
        <v>27</v>
      </c>
      <c r="D72" s="137">
        <v>0</v>
      </c>
      <c r="E72" s="138">
        <v>10261458</v>
      </c>
      <c r="F72" s="113">
        <v>0</v>
      </c>
      <c r="G72" s="111">
        <v>0</v>
      </c>
      <c r="H72" s="111">
        <v>0</v>
      </c>
      <c r="I72" s="137">
        <v>0</v>
      </c>
      <c r="J72" s="111">
        <v>0</v>
      </c>
      <c r="K72" s="137">
        <v>10261458</v>
      </c>
      <c r="L72" s="111">
        <v>0</v>
      </c>
      <c r="M72" s="111">
        <v>0</v>
      </c>
      <c r="N72" s="111">
        <v>0</v>
      </c>
      <c r="O72" s="111">
        <v>0</v>
      </c>
      <c r="P72" s="137">
        <v>4964225.5999999996</v>
      </c>
      <c r="Q72" s="111">
        <v>0</v>
      </c>
      <c r="R72" s="111">
        <v>0</v>
      </c>
      <c r="S72" s="111">
        <v>0</v>
      </c>
      <c r="T72" s="137">
        <v>356842.5</v>
      </c>
      <c r="U72" s="211"/>
      <c r="V72" s="110"/>
      <c r="W72" s="189" t="s">
        <v>30</v>
      </c>
      <c r="X72" s="109">
        <v>178173</v>
      </c>
      <c r="Y72" s="109">
        <f>19015+2508+5805+9046+89365+652+181</f>
        <v>126572</v>
      </c>
      <c r="Z72" s="189" t="s">
        <v>233</v>
      </c>
      <c r="AA72" s="190" t="s">
        <v>281</v>
      </c>
      <c r="AB72" s="205">
        <f t="shared" si="2"/>
        <v>48.377390425415179</v>
      </c>
      <c r="AC72" s="198">
        <f t="shared" si="3"/>
        <v>71.038821819243097</v>
      </c>
      <c r="AD72" s="193">
        <v>2093293</v>
      </c>
      <c r="AE72" s="193"/>
      <c r="AF72" s="193"/>
    </row>
    <row r="73" spans="1:34" ht="211.5" x14ac:dyDescent="0.25">
      <c r="A73" s="112" t="s">
        <v>87</v>
      </c>
      <c r="B73" s="142" t="s">
        <v>88</v>
      </c>
      <c r="C73" s="142" t="s">
        <v>27</v>
      </c>
      <c r="D73" s="137">
        <v>0</v>
      </c>
      <c r="E73" s="137">
        <v>94654.3</v>
      </c>
      <c r="F73" s="111">
        <v>0</v>
      </c>
      <c r="G73" s="111">
        <v>0</v>
      </c>
      <c r="H73" s="111">
        <v>0</v>
      </c>
      <c r="I73" s="137">
        <v>0</v>
      </c>
      <c r="J73" s="111">
        <v>0</v>
      </c>
      <c r="K73" s="137">
        <v>94654.3</v>
      </c>
      <c r="L73" s="111">
        <v>0</v>
      </c>
      <c r="M73" s="111">
        <v>0</v>
      </c>
      <c r="N73" s="111">
        <v>0</v>
      </c>
      <c r="O73" s="111">
        <v>0</v>
      </c>
      <c r="P73" s="137">
        <v>42972.7</v>
      </c>
      <c r="Q73" s="111">
        <v>0</v>
      </c>
      <c r="R73" s="111">
        <v>0</v>
      </c>
      <c r="S73" s="111">
        <v>0</v>
      </c>
      <c r="T73" s="137">
        <v>40870.199999999997</v>
      </c>
      <c r="U73" s="211"/>
      <c r="V73" s="110"/>
      <c r="W73" s="157" t="s">
        <v>82</v>
      </c>
      <c r="X73" s="110">
        <v>17</v>
      </c>
      <c r="Y73" s="110">
        <v>0</v>
      </c>
      <c r="Z73" s="157" t="s">
        <v>233</v>
      </c>
      <c r="AA73" s="164" t="s">
        <v>281</v>
      </c>
      <c r="AB73" s="205">
        <f t="shared" si="2"/>
        <v>45.399627909138829</v>
      </c>
      <c r="AC73" s="198">
        <f t="shared" si="3"/>
        <v>0</v>
      </c>
      <c r="AD73" s="193">
        <v>4717.5</v>
      </c>
      <c r="AE73" s="193"/>
      <c r="AF73" s="193"/>
    </row>
    <row r="74" spans="1:34" ht="408.75" customHeight="1" x14ac:dyDescent="0.25">
      <c r="A74" s="112" t="s">
        <v>89</v>
      </c>
      <c r="B74" s="142" t="s">
        <v>330</v>
      </c>
      <c r="C74" s="142" t="s">
        <v>27</v>
      </c>
      <c r="D74" s="137">
        <v>0</v>
      </c>
      <c r="E74" s="137">
        <v>25545.7</v>
      </c>
      <c r="F74" s="117">
        <v>0</v>
      </c>
      <c r="G74" s="117">
        <v>0</v>
      </c>
      <c r="H74" s="117">
        <v>0</v>
      </c>
      <c r="I74" s="137">
        <v>0</v>
      </c>
      <c r="J74" s="117">
        <v>0</v>
      </c>
      <c r="K74" s="137">
        <v>25545.7</v>
      </c>
      <c r="L74" s="117">
        <v>0</v>
      </c>
      <c r="M74" s="117">
        <v>0</v>
      </c>
      <c r="N74" s="117">
        <v>0</v>
      </c>
      <c r="O74" s="117">
        <v>0</v>
      </c>
      <c r="P74" s="137">
        <v>13217.5</v>
      </c>
      <c r="Q74" s="117">
        <v>0</v>
      </c>
      <c r="R74" s="117">
        <v>0</v>
      </c>
      <c r="S74" s="117">
        <v>0</v>
      </c>
      <c r="T74" s="137">
        <v>4953.5</v>
      </c>
      <c r="U74" s="211"/>
      <c r="V74" s="108"/>
      <c r="W74" s="18" t="s">
        <v>30</v>
      </c>
      <c r="X74" s="115">
        <v>9646</v>
      </c>
      <c r="Y74" s="115">
        <v>9521</v>
      </c>
      <c r="Z74" s="157" t="s">
        <v>31</v>
      </c>
      <c r="AA74" s="158"/>
      <c r="AB74" s="205">
        <f t="shared" si="2"/>
        <v>51.740606051116231</v>
      </c>
      <c r="AC74" s="198">
        <f t="shared" si="3"/>
        <v>98.704126062616623</v>
      </c>
      <c r="AD74" s="193">
        <v>7888.8</v>
      </c>
      <c r="AE74" s="193"/>
      <c r="AF74" s="193"/>
    </row>
    <row r="75" spans="1:34" ht="408.75" customHeight="1" x14ac:dyDescent="0.25">
      <c r="A75" s="112" t="s">
        <v>41</v>
      </c>
      <c r="B75" s="142" t="s">
        <v>331</v>
      </c>
      <c r="C75" s="142" t="s">
        <v>27</v>
      </c>
      <c r="D75" s="137">
        <v>0</v>
      </c>
      <c r="E75" s="137">
        <v>1633.6</v>
      </c>
      <c r="F75" s="117">
        <v>0</v>
      </c>
      <c r="G75" s="117">
        <v>0</v>
      </c>
      <c r="H75" s="117">
        <v>0</v>
      </c>
      <c r="I75" s="137">
        <v>0</v>
      </c>
      <c r="J75" s="117">
        <v>0</v>
      </c>
      <c r="K75" s="137">
        <v>1633.6</v>
      </c>
      <c r="L75" s="117">
        <v>0</v>
      </c>
      <c r="M75" s="117">
        <v>0</v>
      </c>
      <c r="N75" s="117">
        <v>0</v>
      </c>
      <c r="O75" s="117">
        <v>0</v>
      </c>
      <c r="P75" s="137">
        <v>0</v>
      </c>
      <c r="Q75" s="117">
        <v>0</v>
      </c>
      <c r="R75" s="117">
        <v>0</v>
      </c>
      <c r="S75" s="117">
        <v>0</v>
      </c>
      <c r="T75" s="137">
        <v>0</v>
      </c>
      <c r="U75" s="120"/>
      <c r="V75" s="108"/>
      <c r="W75" s="108" t="s">
        <v>82</v>
      </c>
      <c r="X75" s="110">
        <v>4</v>
      </c>
      <c r="Y75" s="110">
        <v>0</v>
      </c>
      <c r="Z75" s="157" t="s">
        <v>233</v>
      </c>
      <c r="AA75" s="116" t="s">
        <v>249</v>
      </c>
      <c r="AB75" s="205">
        <f t="shared" si="2"/>
        <v>0</v>
      </c>
      <c r="AC75" s="198">
        <f t="shared" si="3"/>
        <v>0</v>
      </c>
      <c r="AD75" s="193">
        <v>0</v>
      </c>
      <c r="AE75" s="193"/>
      <c r="AF75" s="193"/>
    </row>
    <row r="76" spans="1:34" ht="408.75" customHeight="1" x14ac:dyDescent="0.25">
      <c r="A76" s="155" t="s">
        <v>43</v>
      </c>
      <c r="B76" s="142" t="s">
        <v>332</v>
      </c>
      <c r="C76" s="142" t="s">
        <v>27</v>
      </c>
      <c r="D76" s="137">
        <v>0</v>
      </c>
      <c r="E76" s="137">
        <v>12262.9</v>
      </c>
      <c r="F76" s="117">
        <v>0</v>
      </c>
      <c r="G76" s="117">
        <v>0</v>
      </c>
      <c r="H76" s="117">
        <v>0</v>
      </c>
      <c r="I76" s="137">
        <v>0</v>
      </c>
      <c r="J76" s="117">
        <v>0</v>
      </c>
      <c r="K76" s="137">
        <v>12262.9</v>
      </c>
      <c r="L76" s="117">
        <v>0</v>
      </c>
      <c r="M76" s="117">
        <v>0</v>
      </c>
      <c r="N76" s="117">
        <v>0</v>
      </c>
      <c r="O76" s="117">
        <v>0</v>
      </c>
      <c r="P76" s="137">
        <v>12262.9</v>
      </c>
      <c r="Q76" s="117">
        <v>0</v>
      </c>
      <c r="R76" s="117">
        <v>0</v>
      </c>
      <c r="S76" s="117">
        <v>0</v>
      </c>
      <c r="T76" s="137">
        <v>1144.2</v>
      </c>
      <c r="U76" s="108"/>
      <c r="V76" s="108"/>
      <c r="W76" s="108" t="s">
        <v>90</v>
      </c>
      <c r="X76" s="110">
        <v>8</v>
      </c>
      <c r="Y76" s="110">
        <v>0</v>
      </c>
      <c r="Z76" s="157" t="s">
        <v>233</v>
      </c>
      <c r="AA76" s="264" t="s">
        <v>436</v>
      </c>
      <c r="AB76" s="205">
        <f t="shared" si="2"/>
        <v>100</v>
      </c>
      <c r="AC76" s="198">
        <f t="shared" si="3"/>
        <v>0</v>
      </c>
      <c r="AD76" s="193">
        <v>0</v>
      </c>
      <c r="AE76" s="193"/>
      <c r="AF76" s="193"/>
    </row>
    <row r="77" spans="1:34" ht="408" customHeight="1" x14ac:dyDescent="0.25">
      <c r="A77" s="155" t="s">
        <v>91</v>
      </c>
      <c r="B77" s="142" t="s">
        <v>333</v>
      </c>
      <c r="C77" s="142" t="s">
        <v>27</v>
      </c>
      <c r="D77" s="137">
        <v>0</v>
      </c>
      <c r="E77" s="137">
        <v>1260</v>
      </c>
      <c r="F77" s="117">
        <v>0</v>
      </c>
      <c r="G77" s="117">
        <v>0</v>
      </c>
      <c r="H77" s="117">
        <v>0</v>
      </c>
      <c r="I77" s="137">
        <v>0</v>
      </c>
      <c r="J77" s="117">
        <v>0</v>
      </c>
      <c r="K77" s="137">
        <v>1260</v>
      </c>
      <c r="L77" s="117">
        <v>0</v>
      </c>
      <c r="M77" s="117">
        <v>0</v>
      </c>
      <c r="N77" s="117">
        <v>0</v>
      </c>
      <c r="O77" s="117">
        <v>0</v>
      </c>
      <c r="P77" s="137">
        <v>1260</v>
      </c>
      <c r="Q77" s="117">
        <v>0</v>
      </c>
      <c r="R77" s="117">
        <v>0</v>
      </c>
      <c r="S77" s="117">
        <v>0</v>
      </c>
      <c r="T77" s="137">
        <v>438.5</v>
      </c>
      <c r="U77" s="108"/>
      <c r="V77" s="108"/>
      <c r="W77" s="108" t="s">
        <v>92</v>
      </c>
      <c r="X77" s="110">
        <v>25</v>
      </c>
      <c r="Y77" s="110">
        <v>10</v>
      </c>
      <c r="Z77" s="157" t="s">
        <v>233</v>
      </c>
      <c r="AA77" s="158" t="s">
        <v>436</v>
      </c>
      <c r="AB77" s="205">
        <f t="shared" si="2"/>
        <v>100</v>
      </c>
      <c r="AC77" s="198">
        <f t="shared" si="3"/>
        <v>40</v>
      </c>
      <c r="AD77" s="193">
        <v>0</v>
      </c>
      <c r="AE77" s="193"/>
      <c r="AF77" s="193"/>
    </row>
    <row r="78" spans="1:34" ht="401.25" customHeight="1" x14ac:dyDescent="0.25">
      <c r="A78" s="112" t="s">
        <v>93</v>
      </c>
      <c r="B78" s="142" t="s">
        <v>334</v>
      </c>
      <c r="C78" s="142" t="s">
        <v>27</v>
      </c>
      <c r="D78" s="137">
        <v>0</v>
      </c>
      <c r="E78" s="137">
        <v>700</v>
      </c>
      <c r="F78" s="117">
        <v>0</v>
      </c>
      <c r="G78" s="117">
        <v>0</v>
      </c>
      <c r="H78" s="117">
        <v>0</v>
      </c>
      <c r="I78" s="137">
        <v>0</v>
      </c>
      <c r="J78" s="117">
        <v>0</v>
      </c>
      <c r="K78" s="137">
        <v>700</v>
      </c>
      <c r="L78" s="117">
        <v>0</v>
      </c>
      <c r="M78" s="117">
        <v>0</v>
      </c>
      <c r="N78" s="117">
        <v>0</v>
      </c>
      <c r="O78" s="117">
        <v>0</v>
      </c>
      <c r="P78" s="137">
        <v>0</v>
      </c>
      <c r="Q78" s="117">
        <v>0</v>
      </c>
      <c r="R78" s="117">
        <v>0</v>
      </c>
      <c r="S78" s="117">
        <v>0</v>
      </c>
      <c r="T78" s="137">
        <v>0</v>
      </c>
      <c r="U78" s="120"/>
      <c r="V78" s="18"/>
      <c r="W78" s="108" t="s">
        <v>30</v>
      </c>
      <c r="X78" s="115">
        <v>1030</v>
      </c>
      <c r="Y78" s="110">
        <v>0</v>
      </c>
      <c r="Z78" s="157" t="s">
        <v>233</v>
      </c>
      <c r="AA78" s="158" t="s">
        <v>249</v>
      </c>
      <c r="AB78" s="205">
        <f t="shared" si="2"/>
        <v>0</v>
      </c>
      <c r="AC78" s="198">
        <f t="shared" si="3"/>
        <v>0</v>
      </c>
      <c r="AD78" s="193">
        <v>0</v>
      </c>
      <c r="AE78" s="193"/>
      <c r="AF78" s="193"/>
    </row>
    <row r="79" spans="1:34" ht="246.75" x14ac:dyDescent="0.25">
      <c r="A79" s="112" t="s">
        <v>94</v>
      </c>
      <c r="B79" s="142" t="s">
        <v>335</v>
      </c>
      <c r="C79" s="142" t="s">
        <v>27</v>
      </c>
      <c r="D79" s="137">
        <v>0</v>
      </c>
      <c r="E79" s="137">
        <v>16465.7</v>
      </c>
      <c r="F79" s="111">
        <v>0</v>
      </c>
      <c r="G79" s="111">
        <v>0</v>
      </c>
      <c r="H79" s="111">
        <v>0</v>
      </c>
      <c r="I79" s="137">
        <v>0</v>
      </c>
      <c r="J79" s="111">
        <v>0</v>
      </c>
      <c r="K79" s="137">
        <v>16465.7</v>
      </c>
      <c r="L79" s="111">
        <v>0</v>
      </c>
      <c r="M79" s="111">
        <v>0</v>
      </c>
      <c r="N79" s="111">
        <v>0</v>
      </c>
      <c r="O79" s="111">
        <v>0</v>
      </c>
      <c r="P79" s="137">
        <v>8090</v>
      </c>
      <c r="Q79" s="111">
        <v>0</v>
      </c>
      <c r="R79" s="111">
        <v>0</v>
      </c>
      <c r="S79" s="111">
        <v>0</v>
      </c>
      <c r="T79" s="137">
        <v>8477.9</v>
      </c>
      <c r="U79" s="211"/>
      <c r="V79" s="110"/>
      <c r="W79" s="157" t="s">
        <v>30</v>
      </c>
      <c r="X79" s="110">
        <v>290</v>
      </c>
      <c r="Y79" s="110">
        <v>280</v>
      </c>
      <c r="Z79" s="157" t="s">
        <v>233</v>
      </c>
      <c r="AA79" s="164" t="s">
        <v>281</v>
      </c>
      <c r="AB79" s="205">
        <f t="shared" si="2"/>
        <v>49.132438948845177</v>
      </c>
      <c r="AC79" s="198">
        <f t="shared" si="3"/>
        <v>96.551724137931032</v>
      </c>
      <c r="AD79" s="193">
        <v>4101.8</v>
      </c>
      <c r="AE79" s="193"/>
      <c r="AF79" s="193"/>
    </row>
    <row r="80" spans="1:34" ht="408.75" customHeight="1" x14ac:dyDescent="0.25">
      <c r="A80" s="291" t="s">
        <v>95</v>
      </c>
      <c r="B80" s="289" t="s">
        <v>336</v>
      </c>
      <c r="C80" s="289" t="s">
        <v>27</v>
      </c>
      <c r="D80" s="267">
        <v>0</v>
      </c>
      <c r="E80" s="267">
        <v>1000</v>
      </c>
      <c r="F80" s="267">
        <v>0</v>
      </c>
      <c r="G80" s="267">
        <v>0</v>
      </c>
      <c r="H80" s="267">
        <v>0</v>
      </c>
      <c r="I80" s="267">
        <v>0</v>
      </c>
      <c r="J80" s="267">
        <v>0</v>
      </c>
      <c r="K80" s="267">
        <v>1000</v>
      </c>
      <c r="L80" s="267">
        <v>0</v>
      </c>
      <c r="M80" s="267">
        <v>0</v>
      </c>
      <c r="N80" s="267">
        <v>0</v>
      </c>
      <c r="O80" s="267">
        <v>0</v>
      </c>
      <c r="P80" s="267">
        <v>1000</v>
      </c>
      <c r="Q80" s="271">
        <v>0</v>
      </c>
      <c r="R80" s="271">
        <v>0</v>
      </c>
      <c r="S80" s="271">
        <v>0</v>
      </c>
      <c r="T80" s="267">
        <v>100</v>
      </c>
      <c r="U80" s="289"/>
      <c r="V80" s="275"/>
      <c r="W80" s="287" t="s">
        <v>96</v>
      </c>
      <c r="X80" s="275">
        <v>200</v>
      </c>
      <c r="Y80" s="275">
        <v>20</v>
      </c>
      <c r="Z80" s="287" t="s">
        <v>233</v>
      </c>
      <c r="AA80" s="289" t="s">
        <v>436</v>
      </c>
      <c r="AB80" s="205">
        <f t="shared" ref="AB80:AB125" si="5">P80/K80*100</f>
        <v>100</v>
      </c>
      <c r="AC80" s="198">
        <f t="shared" si="3"/>
        <v>10</v>
      </c>
      <c r="AD80" s="193">
        <v>0</v>
      </c>
      <c r="AE80" s="193"/>
      <c r="AF80" s="193"/>
    </row>
    <row r="81" spans="1:34" ht="108.75" customHeight="1" x14ac:dyDescent="0.25">
      <c r="A81" s="292"/>
      <c r="B81" s="290"/>
      <c r="C81" s="290"/>
      <c r="D81" s="268"/>
      <c r="E81" s="268"/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72"/>
      <c r="R81" s="272"/>
      <c r="S81" s="272"/>
      <c r="T81" s="268"/>
      <c r="U81" s="290"/>
      <c r="V81" s="276"/>
      <c r="W81" s="288"/>
      <c r="X81" s="276"/>
      <c r="Y81" s="276"/>
      <c r="Z81" s="288"/>
      <c r="AA81" s="290"/>
      <c r="AB81" s="205" t="e">
        <f t="shared" si="5"/>
        <v>#DIV/0!</v>
      </c>
      <c r="AC81" s="198"/>
      <c r="AD81" s="193"/>
      <c r="AE81" s="193"/>
      <c r="AF81" s="193"/>
    </row>
    <row r="82" spans="1:34" ht="408.75" customHeight="1" x14ac:dyDescent="0.25">
      <c r="A82" s="155" t="s">
        <v>97</v>
      </c>
      <c r="B82" s="142" t="s">
        <v>290</v>
      </c>
      <c r="C82" s="142" t="s">
        <v>27</v>
      </c>
      <c r="D82" s="137">
        <v>0</v>
      </c>
      <c r="E82" s="137">
        <v>5960</v>
      </c>
      <c r="F82" s="117">
        <v>0</v>
      </c>
      <c r="G82" s="117">
        <v>0</v>
      </c>
      <c r="H82" s="117">
        <v>0</v>
      </c>
      <c r="I82" s="137">
        <v>0</v>
      </c>
      <c r="J82" s="117">
        <v>0</v>
      </c>
      <c r="K82" s="137">
        <v>5960</v>
      </c>
      <c r="L82" s="117">
        <v>0</v>
      </c>
      <c r="M82" s="117">
        <v>0</v>
      </c>
      <c r="N82" s="117">
        <v>0</v>
      </c>
      <c r="O82" s="117">
        <v>0</v>
      </c>
      <c r="P82" s="137">
        <v>0</v>
      </c>
      <c r="Q82" s="117">
        <v>0</v>
      </c>
      <c r="R82" s="117">
        <v>0</v>
      </c>
      <c r="S82" s="117">
        <v>0</v>
      </c>
      <c r="T82" s="137">
        <v>0</v>
      </c>
      <c r="U82" s="108"/>
      <c r="V82" s="18"/>
      <c r="W82" s="108" t="s">
        <v>98</v>
      </c>
      <c r="X82" s="213" t="s">
        <v>229</v>
      </c>
      <c r="Y82" s="252" t="s">
        <v>293</v>
      </c>
      <c r="Z82" s="157" t="s">
        <v>233</v>
      </c>
      <c r="AA82" s="158" t="s">
        <v>283</v>
      </c>
      <c r="AB82" s="205">
        <f t="shared" si="5"/>
        <v>0</v>
      </c>
      <c r="AC82" s="198"/>
      <c r="AD82" s="193">
        <v>0</v>
      </c>
      <c r="AE82" s="193"/>
      <c r="AF82" s="193"/>
    </row>
    <row r="83" spans="1:34" ht="408.75" customHeight="1" x14ac:dyDescent="0.25">
      <c r="A83" s="155" t="s">
        <v>211</v>
      </c>
      <c r="B83" s="142" t="s">
        <v>291</v>
      </c>
      <c r="C83" s="142" t="s">
        <v>280</v>
      </c>
      <c r="D83" s="137"/>
      <c r="E83" s="138">
        <v>20000</v>
      </c>
      <c r="F83" s="117"/>
      <c r="G83" s="117"/>
      <c r="H83" s="117"/>
      <c r="I83" s="137"/>
      <c r="J83" s="117"/>
      <c r="K83" s="137">
        <v>20000</v>
      </c>
      <c r="L83" s="117"/>
      <c r="M83" s="117"/>
      <c r="N83" s="117"/>
      <c r="O83" s="117"/>
      <c r="P83" s="137">
        <v>32.299999999999997</v>
      </c>
      <c r="Q83" s="117"/>
      <c r="R83" s="117"/>
      <c r="S83" s="117"/>
      <c r="T83" s="137">
        <v>0</v>
      </c>
      <c r="U83" s="120"/>
      <c r="V83" s="18"/>
      <c r="W83" s="108"/>
      <c r="X83" s="109" t="s">
        <v>292</v>
      </c>
      <c r="Y83" s="110">
        <v>0</v>
      </c>
      <c r="Z83" s="157" t="s">
        <v>233</v>
      </c>
      <c r="AA83" s="158" t="s">
        <v>250</v>
      </c>
      <c r="AB83" s="205">
        <f t="shared" si="5"/>
        <v>0.16149999999999998</v>
      </c>
      <c r="AC83" s="198"/>
      <c r="AD83" s="193">
        <v>0</v>
      </c>
      <c r="AE83" s="193"/>
      <c r="AF83" s="193"/>
    </row>
    <row r="84" spans="1:34" ht="408.75" customHeight="1" x14ac:dyDescent="0.25">
      <c r="A84" s="155" t="s">
        <v>45</v>
      </c>
      <c r="B84" s="142" t="s">
        <v>337</v>
      </c>
      <c r="C84" s="142" t="s">
        <v>27</v>
      </c>
      <c r="D84" s="137"/>
      <c r="E84" s="138">
        <v>26066.799999999999</v>
      </c>
      <c r="F84" s="117"/>
      <c r="G84" s="117"/>
      <c r="H84" s="117"/>
      <c r="I84" s="137"/>
      <c r="J84" s="117"/>
      <c r="K84" s="137">
        <v>26066.799999999999</v>
      </c>
      <c r="L84" s="117"/>
      <c r="M84" s="117"/>
      <c r="N84" s="117"/>
      <c r="O84" s="117"/>
      <c r="P84" s="137">
        <v>323.13</v>
      </c>
      <c r="Q84" s="117"/>
      <c r="R84" s="117"/>
      <c r="S84" s="117"/>
      <c r="T84" s="137">
        <v>0</v>
      </c>
      <c r="U84" s="120"/>
      <c r="V84" s="18"/>
      <c r="W84" s="108" t="s">
        <v>30</v>
      </c>
      <c r="X84" s="109">
        <v>1448</v>
      </c>
      <c r="Y84" s="110">
        <v>0</v>
      </c>
      <c r="Z84" s="157" t="s">
        <v>233</v>
      </c>
      <c r="AA84" s="158" t="s">
        <v>284</v>
      </c>
      <c r="AB84" s="205">
        <f t="shared" si="5"/>
        <v>1.2396228152285667</v>
      </c>
      <c r="AC84" s="198">
        <f t="shared" ref="AC84:AC125" si="6">Y84/X84*100</f>
        <v>0</v>
      </c>
      <c r="AD84" s="193">
        <v>323.10000000000002</v>
      </c>
      <c r="AE84" s="193"/>
      <c r="AF84" s="193"/>
    </row>
    <row r="85" spans="1:34" ht="156" customHeight="1" x14ac:dyDescent="0.6">
      <c r="A85" s="112" t="s">
        <v>99</v>
      </c>
      <c r="B85" s="11" t="s">
        <v>100</v>
      </c>
      <c r="C85" s="11"/>
      <c r="D85" s="136">
        <f>D86+D90+D98+D99+D100+D105+D101+D103+D104+D107+D108+D110+D111+D114+D115+D116+D117+D118+D120+D122+D123+D125+D112+D106</f>
        <v>20793471.700000003</v>
      </c>
      <c r="E85" s="136">
        <f>E86+E90+E98+E99+E100+E104+E107+E108+E110+E112+E113+E114+E115+E116+E117+E118+E120+E122+E125+E106</f>
        <v>17531460.300000001</v>
      </c>
      <c r="F85" s="12">
        <f>F86+F90+F98+F99+F100+F105+F101+F103+F104+F107+F108+F110+F111+F114+F115+F116+F117+F118+F120+F122+F123+F125</f>
        <v>0</v>
      </c>
      <c r="G85" s="12">
        <f>G86+G90+G98+G99+G100+G105+G101+G103+G104+G107+G108+G110+G111+G114+G115+G116+G117+G118+G120+G122+G123+G125</f>
        <v>0</v>
      </c>
      <c r="H85" s="12">
        <f>H86+H90+H98+H99+H100+H105+H101+H103+H104+H107+H108+H110+H111+H114+H115+H116+H117+H118+H120+H122+H123+H125</f>
        <v>0</v>
      </c>
      <c r="I85" s="136">
        <f>I86+I90+I98+I99+I100+I105+I101+I103+I104+I107+I108+I110+I111+I114+I115+I116+I117+I118+I120+I122+I123+I125+I106</f>
        <v>23431299.700000003</v>
      </c>
      <c r="J85" s="12">
        <f>J86+J90+J98+J99+J100+J105+J101+J103+J104+J107+J108+J110+J111+J114+J115+J116+J117+J118+J120+J122+J123+J125</f>
        <v>0</v>
      </c>
      <c r="K85" s="136">
        <f>K86+K90+K98+K99+K100+K104+K107+K108+K110+K112+K113+K114+K115+K116+K117+K118+K120+K122+K125+K106</f>
        <v>18364458.700000003</v>
      </c>
      <c r="L85" s="12">
        <f>L86+L90+L98+L99+L100+L105+L101+L103+L104+L107+L108+L110+L111+L114+L115+L116+L117+L118+L120+L122+L123+L125+L112</f>
        <v>0</v>
      </c>
      <c r="M85" s="12">
        <f>M86+M90+M98+M99+M100+M105+M101+M103+M104+M107+M108+M110+M111+M114+M115+M116+M117+M118+M120+M122+M123+M125+M112</f>
        <v>0</v>
      </c>
      <c r="N85" s="12">
        <f>N101+N103+N105+N123+N111+N106</f>
        <v>11682493</v>
      </c>
      <c r="O85" s="12">
        <f>O86+O90+O98+O99+O100+O105+O101+O103+O104+O107+O108+O110+O111+O114+O115+O116+O117+O118+O120+O122+O123+O125+O112</f>
        <v>0</v>
      </c>
      <c r="P85" s="136">
        <f>P86+P90+P98+P99+P100+P105+P101+P103+P104+P107+P108+P110+P111+P114+P115+P116+P117+P118+P120+P122+P123+P125+P112+P113+P106</f>
        <v>8895947.4000000004</v>
      </c>
      <c r="Q85" s="12">
        <f>Q86+Q90+Q98+Q99+Q100+Q105+Q101+Q103+Q104+Q107+Q108+Q110+Q111+Q114+Q115+Q116+Q117+Q118+Q120+Q122+Q123+Q125+Q112</f>
        <v>0</v>
      </c>
      <c r="R85" s="12">
        <f>R86+R90+R98+R99+R100+R105+R101+R103+R104+R107+R108+R110+R111+R114+R115+R116+R117+R118+R120+R122+R123+R125+R112</f>
        <v>0</v>
      </c>
      <c r="S85" s="12">
        <f>S86+S90+S98+S99+S100+S105+S101+S103+S104+S107+S108+S110+S111+S114+S115+S116+S117+S118+S120+S122+S123+S125+S112</f>
        <v>0</v>
      </c>
      <c r="T85" s="136">
        <f>T86+T90+T98+T99+T100+T105+T101+T103+T104+T107+T108+T110+T111+T114+T115+T116+T117+T118+T120+T122+T123+T125+T112</f>
        <v>254702.99999999994</v>
      </c>
      <c r="U85" s="10" t="s">
        <v>24</v>
      </c>
      <c r="V85" s="10" t="s">
        <v>24</v>
      </c>
      <c r="W85" s="10" t="s">
        <v>24</v>
      </c>
      <c r="X85" s="10" t="s">
        <v>24</v>
      </c>
      <c r="Y85" s="10"/>
      <c r="Z85" s="10" t="s">
        <v>24</v>
      </c>
      <c r="AA85" s="19"/>
      <c r="AB85" s="205">
        <f t="shared" si="5"/>
        <v>48.441108694371692</v>
      </c>
      <c r="AC85" s="198"/>
      <c r="AD85" s="193"/>
      <c r="AE85" s="193"/>
      <c r="AF85" s="193"/>
      <c r="AH85" s="14"/>
    </row>
    <row r="86" spans="1:34" ht="379.5" customHeight="1" x14ac:dyDescent="0.25">
      <c r="A86" s="112" t="s">
        <v>32</v>
      </c>
      <c r="B86" s="162" t="s">
        <v>338</v>
      </c>
      <c r="C86" s="162" t="s">
        <v>27</v>
      </c>
      <c r="D86" s="137">
        <v>0</v>
      </c>
      <c r="E86" s="137">
        <f>E87</f>
        <v>2530860.4</v>
      </c>
      <c r="F86" s="117">
        <v>0</v>
      </c>
      <c r="G86" s="117">
        <v>0</v>
      </c>
      <c r="H86" s="117">
        <v>0</v>
      </c>
      <c r="I86" s="137">
        <v>0</v>
      </c>
      <c r="J86" s="117">
        <v>0</v>
      </c>
      <c r="K86" s="137">
        <f>K87</f>
        <v>2530860.4</v>
      </c>
      <c r="L86" s="117">
        <v>0</v>
      </c>
      <c r="M86" s="117">
        <v>0</v>
      </c>
      <c r="N86" s="117">
        <v>0</v>
      </c>
      <c r="O86" s="117">
        <v>0</v>
      </c>
      <c r="P86" s="137">
        <f>P87</f>
        <v>1076092.2</v>
      </c>
      <c r="Q86" s="117">
        <v>0</v>
      </c>
      <c r="R86" s="117">
        <v>0</v>
      </c>
      <c r="S86" s="117">
        <v>0</v>
      </c>
      <c r="T86" s="137">
        <f>T87</f>
        <v>138995</v>
      </c>
      <c r="U86" s="110" t="s">
        <v>24</v>
      </c>
      <c r="V86" s="110" t="s">
        <v>24</v>
      </c>
      <c r="W86" s="110" t="s">
        <v>24</v>
      </c>
      <c r="X86" s="110" t="s">
        <v>24</v>
      </c>
      <c r="Y86" s="110"/>
      <c r="Z86" s="110" t="s">
        <v>24</v>
      </c>
      <c r="AA86" s="13"/>
      <c r="AB86" s="205">
        <f t="shared" si="5"/>
        <v>42.518828774593807</v>
      </c>
      <c r="AC86" s="198"/>
      <c r="AD86" s="193">
        <v>459637.7</v>
      </c>
      <c r="AE86" s="193"/>
      <c r="AF86" s="193"/>
    </row>
    <row r="87" spans="1:34" ht="409.5" customHeight="1" x14ac:dyDescent="0.25">
      <c r="A87" s="291" t="s">
        <v>76</v>
      </c>
      <c r="B87" s="289" t="s">
        <v>81</v>
      </c>
      <c r="C87" s="289" t="s">
        <v>27</v>
      </c>
      <c r="D87" s="267">
        <v>0</v>
      </c>
      <c r="E87" s="267">
        <v>2530860.4</v>
      </c>
      <c r="F87" s="271">
        <v>0</v>
      </c>
      <c r="G87" s="271">
        <v>0</v>
      </c>
      <c r="H87" s="271">
        <v>0</v>
      </c>
      <c r="I87" s="267">
        <v>0</v>
      </c>
      <c r="J87" s="271">
        <v>0</v>
      </c>
      <c r="K87" s="267">
        <v>2530860.4</v>
      </c>
      <c r="L87" s="271">
        <v>0</v>
      </c>
      <c r="M87" s="271">
        <v>0</v>
      </c>
      <c r="N87" s="271">
        <v>0</v>
      </c>
      <c r="O87" s="271">
        <v>0</v>
      </c>
      <c r="P87" s="267">
        <v>1076092.2</v>
      </c>
      <c r="Q87" s="271">
        <v>0</v>
      </c>
      <c r="R87" s="271">
        <v>0</v>
      </c>
      <c r="S87" s="271">
        <v>0</v>
      </c>
      <c r="T87" s="267">
        <v>138995</v>
      </c>
      <c r="U87" s="289"/>
      <c r="V87" s="275"/>
      <c r="W87" s="275" t="s">
        <v>30</v>
      </c>
      <c r="X87" s="295">
        <v>42651</v>
      </c>
      <c r="Y87" s="295">
        <f>287+1761+114+32+403+402+137455+700+4045</f>
        <v>145199</v>
      </c>
      <c r="Z87" s="287" t="s">
        <v>233</v>
      </c>
      <c r="AA87" s="289" t="s">
        <v>284</v>
      </c>
      <c r="AB87" s="205">
        <f t="shared" si="5"/>
        <v>42.518828774593807</v>
      </c>
      <c r="AC87" s="198">
        <f t="shared" si="6"/>
        <v>340.43515978523362</v>
      </c>
      <c r="AD87" s="193">
        <v>459637.7</v>
      </c>
      <c r="AE87" s="193"/>
      <c r="AF87" s="193"/>
    </row>
    <row r="88" spans="1:34" ht="79.5" customHeight="1" x14ac:dyDescent="0.25">
      <c r="A88" s="307"/>
      <c r="B88" s="301"/>
      <c r="C88" s="301"/>
      <c r="D88" s="306"/>
      <c r="E88" s="306"/>
      <c r="F88" s="305"/>
      <c r="G88" s="305"/>
      <c r="H88" s="305"/>
      <c r="I88" s="306"/>
      <c r="J88" s="305"/>
      <c r="K88" s="306"/>
      <c r="L88" s="305"/>
      <c r="M88" s="305"/>
      <c r="N88" s="305"/>
      <c r="O88" s="305"/>
      <c r="P88" s="306"/>
      <c r="Q88" s="305"/>
      <c r="R88" s="305"/>
      <c r="S88" s="305"/>
      <c r="T88" s="306"/>
      <c r="U88" s="301"/>
      <c r="V88" s="304"/>
      <c r="W88" s="304"/>
      <c r="X88" s="303"/>
      <c r="Y88" s="303"/>
      <c r="Z88" s="302"/>
      <c r="AA88" s="301"/>
      <c r="AB88" s="205" t="e">
        <f t="shared" si="5"/>
        <v>#DIV/0!</v>
      </c>
      <c r="AC88" s="198"/>
      <c r="AD88" s="193"/>
      <c r="AE88" s="193"/>
      <c r="AF88" s="193"/>
    </row>
    <row r="89" spans="1:34" ht="89.25" customHeight="1" x14ac:dyDescent="0.25">
      <c r="A89" s="292"/>
      <c r="B89" s="290"/>
      <c r="C89" s="290"/>
      <c r="D89" s="268"/>
      <c r="E89" s="268"/>
      <c r="F89" s="272"/>
      <c r="G89" s="272"/>
      <c r="H89" s="272"/>
      <c r="I89" s="268"/>
      <c r="J89" s="272"/>
      <c r="K89" s="268"/>
      <c r="L89" s="272"/>
      <c r="M89" s="272"/>
      <c r="N89" s="272"/>
      <c r="O89" s="272"/>
      <c r="P89" s="268"/>
      <c r="Q89" s="272"/>
      <c r="R89" s="272"/>
      <c r="S89" s="272"/>
      <c r="T89" s="268"/>
      <c r="U89" s="290"/>
      <c r="V89" s="276"/>
      <c r="W89" s="276"/>
      <c r="X89" s="296"/>
      <c r="Y89" s="296"/>
      <c r="Z89" s="288"/>
      <c r="AA89" s="290"/>
      <c r="AB89" s="205" t="e">
        <f t="shared" si="5"/>
        <v>#DIV/0!</v>
      </c>
      <c r="AC89" s="198"/>
      <c r="AD89" s="193"/>
      <c r="AE89" s="193"/>
      <c r="AF89" s="193"/>
    </row>
    <row r="90" spans="1:34" ht="409.5" x14ac:dyDescent="0.25">
      <c r="A90" s="112" t="s">
        <v>33</v>
      </c>
      <c r="B90" s="162" t="s">
        <v>339</v>
      </c>
      <c r="C90" s="162" t="s">
        <v>27</v>
      </c>
      <c r="D90" s="137">
        <v>0</v>
      </c>
      <c r="E90" s="138">
        <f>E91+E93</f>
        <v>318410.8</v>
      </c>
      <c r="F90" s="118">
        <v>0</v>
      </c>
      <c r="G90" s="111">
        <v>0</v>
      </c>
      <c r="H90" s="111">
        <v>0</v>
      </c>
      <c r="I90" s="137">
        <v>0</v>
      </c>
      <c r="J90" s="111">
        <v>0</v>
      </c>
      <c r="K90" s="137">
        <f>K91+K93</f>
        <v>318410.8</v>
      </c>
      <c r="L90" s="111">
        <v>0</v>
      </c>
      <c r="M90" s="111">
        <v>0</v>
      </c>
      <c r="N90" s="111">
        <v>0</v>
      </c>
      <c r="O90" s="111">
        <v>0</v>
      </c>
      <c r="P90" s="137">
        <f>P91+P93</f>
        <v>122397.6</v>
      </c>
      <c r="Q90" s="111">
        <v>0</v>
      </c>
      <c r="R90" s="111">
        <v>0</v>
      </c>
      <c r="S90" s="111">
        <v>0</v>
      </c>
      <c r="T90" s="137">
        <f>T91</f>
        <v>6730.4</v>
      </c>
      <c r="U90" s="110"/>
      <c r="V90" s="110" t="s">
        <v>24</v>
      </c>
      <c r="W90" s="110" t="s">
        <v>24</v>
      </c>
      <c r="X90" s="110" t="s">
        <v>24</v>
      </c>
      <c r="Y90" s="110"/>
      <c r="Z90" s="110" t="s">
        <v>24</v>
      </c>
      <c r="AA90" s="13"/>
      <c r="AB90" s="205">
        <f t="shared" si="5"/>
        <v>38.440153411881759</v>
      </c>
      <c r="AC90" s="198"/>
      <c r="AD90" s="193">
        <v>52534.3</v>
      </c>
      <c r="AE90" s="193"/>
      <c r="AF90" s="193"/>
    </row>
    <row r="91" spans="1:34" ht="388.5" customHeight="1" x14ac:dyDescent="0.25">
      <c r="A91" s="291" t="s">
        <v>101</v>
      </c>
      <c r="B91" s="289" t="s">
        <v>81</v>
      </c>
      <c r="C91" s="289" t="s">
        <v>27</v>
      </c>
      <c r="D91" s="267">
        <v>0</v>
      </c>
      <c r="E91" s="293">
        <v>103115.5</v>
      </c>
      <c r="F91" s="297">
        <v>0</v>
      </c>
      <c r="G91" s="271">
        <v>0</v>
      </c>
      <c r="H91" s="271">
        <v>0</v>
      </c>
      <c r="I91" s="267">
        <v>0</v>
      </c>
      <c r="J91" s="271">
        <v>0</v>
      </c>
      <c r="K91" s="267">
        <v>103115.5</v>
      </c>
      <c r="L91" s="271">
        <v>0</v>
      </c>
      <c r="M91" s="271">
        <v>0</v>
      </c>
      <c r="N91" s="271">
        <v>0</v>
      </c>
      <c r="O91" s="271">
        <v>0</v>
      </c>
      <c r="P91" s="267">
        <v>36561.800000000003</v>
      </c>
      <c r="Q91" s="271">
        <v>0</v>
      </c>
      <c r="R91" s="271">
        <v>0</v>
      </c>
      <c r="S91" s="271">
        <v>0</v>
      </c>
      <c r="T91" s="267">
        <v>6730.4</v>
      </c>
      <c r="U91" s="289"/>
      <c r="V91" s="275"/>
      <c r="W91" s="275" t="s">
        <v>30</v>
      </c>
      <c r="X91" s="275">
        <v>110</v>
      </c>
      <c r="Y91" s="275">
        <v>75</v>
      </c>
      <c r="Z91" s="287" t="s">
        <v>233</v>
      </c>
      <c r="AA91" s="289" t="s">
        <v>284</v>
      </c>
      <c r="AB91" s="205">
        <f t="shared" si="5"/>
        <v>35.457133020738887</v>
      </c>
      <c r="AC91" s="198">
        <f t="shared" si="6"/>
        <v>68.181818181818173</v>
      </c>
      <c r="AD91" s="193">
        <v>15405.9</v>
      </c>
      <c r="AE91" s="193"/>
      <c r="AF91" s="193"/>
    </row>
    <row r="92" spans="1:34" ht="99.75" hidden="1" customHeight="1" x14ac:dyDescent="0.25">
      <c r="A92" s="292"/>
      <c r="B92" s="290"/>
      <c r="C92" s="290"/>
      <c r="D92" s="268"/>
      <c r="E92" s="294"/>
      <c r="F92" s="298"/>
      <c r="G92" s="272"/>
      <c r="H92" s="272"/>
      <c r="I92" s="268"/>
      <c r="J92" s="272"/>
      <c r="K92" s="268"/>
      <c r="L92" s="272"/>
      <c r="M92" s="272"/>
      <c r="N92" s="272"/>
      <c r="O92" s="272"/>
      <c r="P92" s="268"/>
      <c r="Q92" s="272"/>
      <c r="R92" s="272"/>
      <c r="S92" s="272"/>
      <c r="T92" s="268"/>
      <c r="U92" s="290"/>
      <c r="V92" s="276"/>
      <c r="W92" s="276"/>
      <c r="X92" s="276"/>
      <c r="Y92" s="276"/>
      <c r="Z92" s="288"/>
      <c r="AA92" s="290"/>
      <c r="AB92" s="205" t="e">
        <f t="shared" si="5"/>
        <v>#DIV/0!</v>
      </c>
      <c r="AC92" s="198" t="e">
        <f t="shared" si="6"/>
        <v>#DIV/0!</v>
      </c>
      <c r="AD92" s="193"/>
      <c r="AE92" s="193"/>
      <c r="AF92" s="193"/>
    </row>
    <row r="93" spans="1:34" ht="211.5" x14ac:dyDescent="0.25">
      <c r="A93" s="112" t="s">
        <v>102</v>
      </c>
      <c r="B93" s="162" t="s">
        <v>103</v>
      </c>
      <c r="C93" s="162" t="s">
        <v>27</v>
      </c>
      <c r="D93" s="137">
        <v>0</v>
      </c>
      <c r="E93" s="138">
        <f>E94+E96+E97</f>
        <v>215295.3</v>
      </c>
      <c r="F93" s="113">
        <v>0</v>
      </c>
      <c r="G93" s="111">
        <v>0</v>
      </c>
      <c r="H93" s="111">
        <v>0</v>
      </c>
      <c r="I93" s="137">
        <v>0</v>
      </c>
      <c r="J93" s="111">
        <v>0</v>
      </c>
      <c r="K93" s="137">
        <f>K94+K96+K97</f>
        <v>215295.3</v>
      </c>
      <c r="L93" s="111">
        <v>0</v>
      </c>
      <c r="M93" s="111">
        <v>0</v>
      </c>
      <c r="N93" s="111">
        <v>0</v>
      </c>
      <c r="O93" s="111">
        <v>0</v>
      </c>
      <c r="P93" s="137">
        <f>P94+P96+P97</f>
        <v>85835.8</v>
      </c>
      <c r="Q93" s="111">
        <v>0</v>
      </c>
      <c r="R93" s="111">
        <v>0</v>
      </c>
      <c r="S93" s="111">
        <v>0</v>
      </c>
      <c r="T93" s="137">
        <f>T94+T96+T97</f>
        <v>17196.599999999999</v>
      </c>
      <c r="U93" s="110"/>
      <c r="V93" s="110" t="s">
        <v>24</v>
      </c>
      <c r="W93" s="110" t="s">
        <v>24</v>
      </c>
      <c r="X93" s="110" t="s">
        <v>24</v>
      </c>
      <c r="Y93" s="110"/>
      <c r="Z93" s="110" t="s">
        <v>24</v>
      </c>
      <c r="AA93" s="158"/>
      <c r="AB93" s="205">
        <f t="shared" si="5"/>
        <v>39.868868479711352</v>
      </c>
      <c r="AC93" s="198"/>
      <c r="AD93" s="193">
        <v>37128.400000000001</v>
      </c>
      <c r="AE93" s="193"/>
      <c r="AF93" s="193"/>
    </row>
    <row r="94" spans="1:34" ht="382.5" customHeight="1" x14ac:dyDescent="0.25">
      <c r="A94" s="291" t="s">
        <v>104</v>
      </c>
      <c r="B94" s="289" t="s">
        <v>86</v>
      </c>
      <c r="C94" s="289" t="s">
        <v>27</v>
      </c>
      <c r="D94" s="267">
        <v>0</v>
      </c>
      <c r="E94" s="293">
        <v>209145</v>
      </c>
      <c r="F94" s="297">
        <v>0</v>
      </c>
      <c r="G94" s="271">
        <v>0</v>
      </c>
      <c r="H94" s="271">
        <v>0</v>
      </c>
      <c r="I94" s="267">
        <v>0</v>
      </c>
      <c r="J94" s="271">
        <v>0</v>
      </c>
      <c r="K94" s="267">
        <v>209145</v>
      </c>
      <c r="L94" s="271">
        <v>0</v>
      </c>
      <c r="M94" s="271">
        <v>0</v>
      </c>
      <c r="N94" s="271">
        <v>0</v>
      </c>
      <c r="O94" s="271">
        <v>0</v>
      </c>
      <c r="P94" s="267">
        <v>82739.600000000006</v>
      </c>
      <c r="Q94" s="271">
        <v>0</v>
      </c>
      <c r="R94" s="271">
        <v>0</v>
      </c>
      <c r="S94" s="271">
        <v>0</v>
      </c>
      <c r="T94" s="267">
        <v>12316</v>
      </c>
      <c r="U94" s="289"/>
      <c r="V94" s="275"/>
      <c r="W94" s="275" t="s">
        <v>30</v>
      </c>
      <c r="X94" s="295">
        <v>2417</v>
      </c>
      <c r="Y94" s="295">
        <f>254+262</f>
        <v>516</v>
      </c>
      <c r="Z94" s="287" t="s">
        <v>233</v>
      </c>
      <c r="AA94" s="289"/>
      <c r="AB94" s="205">
        <f t="shared" si="5"/>
        <v>39.560878816132352</v>
      </c>
      <c r="AC94" s="198">
        <f t="shared" si="6"/>
        <v>21.348779478692595</v>
      </c>
      <c r="AD94" s="193">
        <v>36466.699999999997</v>
      </c>
      <c r="AE94" s="193"/>
      <c r="AF94" s="193"/>
    </row>
    <row r="95" spans="1:34" ht="96.75" hidden="1" customHeight="1" x14ac:dyDescent="0.25">
      <c r="A95" s="292"/>
      <c r="B95" s="290"/>
      <c r="C95" s="290"/>
      <c r="D95" s="268"/>
      <c r="E95" s="294"/>
      <c r="F95" s="298"/>
      <c r="G95" s="272"/>
      <c r="H95" s="272"/>
      <c r="I95" s="268"/>
      <c r="J95" s="272"/>
      <c r="K95" s="268"/>
      <c r="L95" s="272"/>
      <c r="M95" s="272"/>
      <c r="N95" s="272"/>
      <c r="O95" s="272"/>
      <c r="P95" s="268"/>
      <c r="Q95" s="272"/>
      <c r="R95" s="272"/>
      <c r="S95" s="272"/>
      <c r="T95" s="268"/>
      <c r="U95" s="290"/>
      <c r="V95" s="276"/>
      <c r="W95" s="276"/>
      <c r="X95" s="296"/>
      <c r="Y95" s="296"/>
      <c r="Z95" s="288"/>
      <c r="AA95" s="290"/>
      <c r="AB95" s="205" t="e">
        <f t="shared" si="5"/>
        <v>#DIV/0!</v>
      </c>
      <c r="AC95" s="198" t="e">
        <f t="shared" si="6"/>
        <v>#DIV/0!</v>
      </c>
      <c r="AD95" s="193"/>
      <c r="AE95" s="193"/>
      <c r="AF95" s="193"/>
    </row>
    <row r="96" spans="1:34" ht="211.5" x14ac:dyDescent="0.25">
      <c r="A96" s="112" t="s">
        <v>105</v>
      </c>
      <c r="B96" s="162" t="s">
        <v>88</v>
      </c>
      <c r="C96" s="162" t="s">
        <v>27</v>
      </c>
      <c r="D96" s="137">
        <v>0</v>
      </c>
      <c r="E96" s="138">
        <v>4800</v>
      </c>
      <c r="F96" s="113">
        <v>0</v>
      </c>
      <c r="G96" s="111">
        <v>0</v>
      </c>
      <c r="H96" s="111">
        <v>0</v>
      </c>
      <c r="I96" s="137">
        <v>0</v>
      </c>
      <c r="J96" s="111">
        <v>0</v>
      </c>
      <c r="K96" s="137">
        <v>4800</v>
      </c>
      <c r="L96" s="111">
        <v>0</v>
      </c>
      <c r="M96" s="111">
        <v>0</v>
      </c>
      <c r="N96" s="111">
        <v>0</v>
      </c>
      <c r="O96" s="111">
        <v>0</v>
      </c>
      <c r="P96" s="137">
        <v>2300</v>
      </c>
      <c r="Q96" s="111">
        <v>0</v>
      </c>
      <c r="R96" s="111">
        <v>0</v>
      </c>
      <c r="S96" s="111">
        <v>0</v>
      </c>
      <c r="T96" s="137">
        <v>4420.1000000000004</v>
      </c>
      <c r="U96" s="211"/>
      <c r="V96" s="110"/>
      <c r="W96" s="157" t="s">
        <v>82</v>
      </c>
      <c r="X96" s="110">
        <v>1</v>
      </c>
      <c r="Y96" s="110">
        <v>0</v>
      </c>
      <c r="Z96" s="157" t="s">
        <v>233</v>
      </c>
      <c r="AA96" s="158" t="s">
        <v>285</v>
      </c>
      <c r="AB96" s="205">
        <f t="shared" si="5"/>
        <v>47.916666666666671</v>
      </c>
      <c r="AC96" s="198">
        <f t="shared" si="6"/>
        <v>0</v>
      </c>
      <c r="AD96" s="193"/>
      <c r="AE96" s="193"/>
      <c r="AF96" s="193"/>
    </row>
    <row r="97" spans="1:32" ht="408.75" customHeight="1" x14ac:dyDescent="0.25">
      <c r="A97" s="112" t="s">
        <v>106</v>
      </c>
      <c r="B97" s="162" t="s">
        <v>340</v>
      </c>
      <c r="C97" s="162" t="s">
        <v>27</v>
      </c>
      <c r="D97" s="137">
        <v>0</v>
      </c>
      <c r="E97" s="138">
        <v>1350.3</v>
      </c>
      <c r="F97" s="118">
        <v>0</v>
      </c>
      <c r="G97" s="117">
        <v>0</v>
      </c>
      <c r="H97" s="117">
        <v>0</v>
      </c>
      <c r="I97" s="137">
        <v>0</v>
      </c>
      <c r="J97" s="117">
        <v>0</v>
      </c>
      <c r="K97" s="137">
        <v>1350.3</v>
      </c>
      <c r="L97" s="117">
        <v>0</v>
      </c>
      <c r="M97" s="117">
        <v>0</v>
      </c>
      <c r="N97" s="117">
        <v>0</v>
      </c>
      <c r="O97" s="117">
        <v>0</v>
      </c>
      <c r="P97" s="137">
        <v>796.2</v>
      </c>
      <c r="Q97" s="117">
        <v>0</v>
      </c>
      <c r="R97" s="117">
        <v>0</v>
      </c>
      <c r="S97" s="117">
        <v>0</v>
      </c>
      <c r="T97" s="137">
        <v>460.5</v>
      </c>
      <c r="U97" s="119"/>
      <c r="V97" s="18"/>
      <c r="W97" s="18" t="s">
        <v>30</v>
      </c>
      <c r="X97" s="110">
        <v>163</v>
      </c>
      <c r="Y97" s="110">
        <v>186</v>
      </c>
      <c r="Z97" s="157" t="s">
        <v>31</v>
      </c>
      <c r="AA97" s="13"/>
      <c r="AB97" s="205">
        <f t="shared" si="5"/>
        <v>58.964674516774053</v>
      </c>
      <c r="AC97" s="198">
        <f t="shared" si="6"/>
        <v>114.11042944785277</v>
      </c>
      <c r="AD97" s="193">
        <v>661.7</v>
      </c>
      <c r="AE97" s="193"/>
      <c r="AF97" s="193"/>
    </row>
    <row r="98" spans="1:32" ht="408.75" customHeight="1" x14ac:dyDescent="0.25">
      <c r="A98" s="112" t="s">
        <v>78</v>
      </c>
      <c r="B98" s="162" t="s">
        <v>107</v>
      </c>
      <c r="C98" s="162" t="s">
        <v>27</v>
      </c>
      <c r="D98" s="137">
        <v>0</v>
      </c>
      <c r="E98" s="137">
        <v>351853.2</v>
      </c>
      <c r="F98" s="117">
        <v>0</v>
      </c>
      <c r="G98" s="117">
        <v>0</v>
      </c>
      <c r="H98" s="117">
        <v>0</v>
      </c>
      <c r="I98" s="137">
        <v>0</v>
      </c>
      <c r="J98" s="117">
        <v>0</v>
      </c>
      <c r="K98" s="137">
        <v>351853.2</v>
      </c>
      <c r="L98" s="117">
        <v>0</v>
      </c>
      <c r="M98" s="117">
        <v>0</v>
      </c>
      <c r="N98" s="117">
        <v>0</v>
      </c>
      <c r="O98" s="117">
        <v>0</v>
      </c>
      <c r="P98" s="137">
        <v>181853.2</v>
      </c>
      <c r="Q98" s="117">
        <v>0</v>
      </c>
      <c r="R98" s="117">
        <v>0</v>
      </c>
      <c r="S98" s="117">
        <v>0</v>
      </c>
      <c r="T98" s="137">
        <v>75271.199999999997</v>
      </c>
      <c r="U98" s="108"/>
      <c r="V98" s="18"/>
      <c r="W98" s="18" t="s">
        <v>30</v>
      </c>
      <c r="X98" s="115">
        <v>6063</v>
      </c>
      <c r="Y98" s="115">
        <v>4396</v>
      </c>
      <c r="Z98" s="157" t="s">
        <v>233</v>
      </c>
      <c r="AA98" s="158" t="s">
        <v>284</v>
      </c>
      <c r="AB98" s="205">
        <f t="shared" si="5"/>
        <v>51.684395651368241</v>
      </c>
      <c r="AC98" s="198">
        <f t="shared" si="6"/>
        <v>72.50536038264886</v>
      </c>
      <c r="AD98" s="193">
        <v>97853.2</v>
      </c>
      <c r="AE98" s="193"/>
      <c r="AF98" s="193"/>
    </row>
    <row r="99" spans="1:32" ht="211.5" x14ac:dyDescent="0.25">
      <c r="A99" s="112" t="s">
        <v>34</v>
      </c>
      <c r="B99" s="162" t="s">
        <v>341</v>
      </c>
      <c r="C99" s="162" t="s">
        <v>27</v>
      </c>
      <c r="D99" s="137">
        <v>0</v>
      </c>
      <c r="E99" s="138">
        <v>1051476</v>
      </c>
      <c r="F99" s="113">
        <v>0</v>
      </c>
      <c r="G99" s="111">
        <v>0</v>
      </c>
      <c r="H99" s="111">
        <v>0</v>
      </c>
      <c r="I99" s="137">
        <v>0</v>
      </c>
      <c r="J99" s="111">
        <v>0</v>
      </c>
      <c r="K99" s="137">
        <v>1051476</v>
      </c>
      <c r="L99" s="111">
        <v>0</v>
      </c>
      <c r="M99" s="111">
        <v>0</v>
      </c>
      <c r="N99" s="111">
        <v>0</v>
      </c>
      <c r="O99" s="111">
        <v>0</v>
      </c>
      <c r="P99" s="137">
        <v>494948.1</v>
      </c>
      <c r="Q99" s="111">
        <v>0</v>
      </c>
      <c r="R99" s="111">
        <v>0</v>
      </c>
      <c r="S99" s="111">
        <v>0</v>
      </c>
      <c r="T99" s="137">
        <v>69.099999999999994</v>
      </c>
      <c r="U99" s="211"/>
      <c r="V99" s="110"/>
      <c r="W99" s="110" t="s">
        <v>30</v>
      </c>
      <c r="X99" s="115">
        <v>345890</v>
      </c>
      <c r="Y99" s="109">
        <v>211710</v>
      </c>
      <c r="Z99" s="157" t="s">
        <v>233</v>
      </c>
      <c r="AA99" s="164" t="s">
        <v>284</v>
      </c>
      <c r="AB99" s="205">
        <f t="shared" si="5"/>
        <v>47.071744861508961</v>
      </c>
      <c r="AC99" s="198">
        <f t="shared" si="6"/>
        <v>61.207320246321082</v>
      </c>
      <c r="AD99" s="193">
        <v>244080.6</v>
      </c>
      <c r="AE99" s="193"/>
      <c r="AF99" s="193"/>
    </row>
    <row r="100" spans="1:32" ht="408.75" customHeight="1" x14ac:dyDescent="0.25">
      <c r="A100" s="112" t="s">
        <v>35</v>
      </c>
      <c r="B100" s="162" t="s">
        <v>342</v>
      </c>
      <c r="C100" s="162" t="s">
        <v>27</v>
      </c>
      <c r="D100" s="137">
        <v>0</v>
      </c>
      <c r="E100" s="137">
        <v>173893.1</v>
      </c>
      <c r="F100" s="117">
        <v>0</v>
      </c>
      <c r="G100" s="117">
        <v>0</v>
      </c>
      <c r="H100" s="117">
        <v>0</v>
      </c>
      <c r="I100" s="137">
        <v>0</v>
      </c>
      <c r="J100" s="117">
        <v>0</v>
      </c>
      <c r="K100" s="137">
        <v>173893.1</v>
      </c>
      <c r="L100" s="117">
        <v>0</v>
      </c>
      <c r="M100" s="117">
        <v>0</v>
      </c>
      <c r="N100" s="117">
        <v>0</v>
      </c>
      <c r="O100" s="117">
        <v>0</v>
      </c>
      <c r="P100" s="137">
        <v>52288</v>
      </c>
      <c r="Q100" s="117">
        <v>0</v>
      </c>
      <c r="R100" s="117">
        <v>0</v>
      </c>
      <c r="S100" s="117">
        <v>0</v>
      </c>
      <c r="T100" s="137">
        <v>728.8</v>
      </c>
      <c r="U100" s="120"/>
      <c r="V100" s="18"/>
      <c r="W100" s="18" t="s">
        <v>30</v>
      </c>
      <c r="X100" s="115">
        <v>96607</v>
      </c>
      <c r="Y100" s="115">
        <v>53918</v>
      </c>
      <c r="Z100" s="157" t="s">
        <v>233</v>
      </c>
      <c r="AA100" s="164" t="s">
        <v>284</v>
      </c>
      <c r="AB100" s="205">
        <f t="shared" si="5"/>
        <v>30.069048168098679</v>
      </c>
      <c r="AC100" s="198">
        <f t="shared" si="6"/>
        <v>55.811690664237581</v>
      </c>
      <c r="AD100" s="193">
        <v>25723</v>
      </c>
      <c r="AE100" s="193"/>
      <c r="AF100" s="193"/>
    </row>
    <row r="101" spans="1:32" ht="408.75" customHeight="1" x14ac:dyDescent="0.25">
      <c r="A101" s="291" t="s">
        <v>37</v>
      </c>
      <c r="B101" s="289" t="s">
        <v>343</v>
      </c>
      <c r="C101" s="289" t="s">
        <v>27</v>
      </c>
      <c r="D101" s="267">
        <v>45354.3</v>
      </c>
      <c r="E101" s="267">
        <v>0</v>
      </c>
      <c r="F101" s="271">
        <v>0</v>
      </c>
      <c r="G101" s="271">
        <v>0</v>
      </c>
      <c r="H101" s="271">
        <v>0</v>
      </c>
      <c r="I101" s="267">
        <v>45354.3</v>
      </c>
      <c r="J101" s="271">
        <v>0</v>
      </c>
      <c r="K101" s="267">
        <v>0</v>
      </c>
      <c r="L101" s="271">
        <v>0</v>
      </c>
      <c r="M101" s="271">
        <v>0</v>
      </c>
      <c r="N101" s="271">
        <v>10488.9</v>
      </c>
      <c r="O101" s="271">
        <v>0</v>
      </c>
      <c r="P101" s="267">
        <v>0</v>
      </c>
      <c r="Q101" s="271">
        <v>0</v>
      </c>
      <c r="R101" s="271">
        <v>0</v>
      </c>
      <c r="S101" s="271">
        <v>0</v>
      </c>
      <c r="T101" s="267">
        <v>0</v>
      </c>
      <c r="U101" s="289"/>
      <c r="V101" s="275"/>
      <c r="W101" s="287" t="s">
        <v>30</v>
      </c>
      <c r="X101" s="275">
        <v>296</v>
      </c>
      <c r="Y101" s="275">
        <v>158</v>
      </c>
      <c r="Z101" s="287" t="s">
        <v>233</v>
      </c>
      <c r="AA101" s="289" t="s">
        <v>284</v>
      </c>
      <c r="AB101" s="205" t="e">
        <f t="shared" si="5"/>
        <v>#DIV/0!</v>
      </c>
      <c r="AC101" s="198">
        <f t="shared" si="6"/>
        <v>53.378378378378379</v>
      </c>
      <c r="AD101" s="193">
        <v>4193.1000000000004</v>
      </c>
      <c r="AE101" s="193"/>
      <c r="AF101" s="193"/>
    </row>
    <row r="102" spans="1:32" ht="7.5" customHeight="1" x14ac:dyDescent="0.25">
      <c r="A102" s="292"/>
      <c r="B102" s="290"/>
      <c r="C102" s="290"/>
      <c r="D102" s="268"/>
      <c r="E102" s="268"/>
      <c r="F102" s="272"/>
      <c r="G102" s="272"/>
      <c r="H102" s="272"/>
      <c r="I102" s="268"/>
      <c r="J102" s="272"/>
      <c r="K102" s="268"/>
      <c r="L102" s="272"/>
      <c r="M102" s="272"/>
      <c r="N102" s="272"/>
      <c r="O102" s="272"/>
      <c r="P102" s="268"/>
      <c r="Q102" s="272"/>
      <c r="R102" s="272"/>
      <c r="S102" s="272"/>
      <c r="T102" s="268"/>
      <c r="U102" s="290"/>
      <c r="V102" s="276"/>
      <c r="W102" s="288"/>
      <c r="X102" s="276"/>
      <c r="Y102" s="276"/>
      <c r="Z102" s="288"/>
      <c r="AA102" s="290"/>
      <c r="AB102" s="205" t="e">
        <f t="shared" si="5"/>
        <v>#DIV/0!</v>
      </c>
      <c r="AC102" s="198"/>
      <c r="AD102" s="193"/>
      <c r="AE102" s="193"/>
      <c r="AF102" s="193"/>
    </row>
    <row r="103" spans="1:32" ht="408.75" customHeight="1" x14ac:dyDescent="0.25">
      <c r="A103" s="161" t="s">
        <v>108</v>
      </c>
      <c r="B103" s="162" t="s">
        <v>344</v>
      </c>
      <c r="C103" s="116" t="s">
        <v>27</v>
      </c>
      <c r="D103" s="138">
        <v>4040154.5</v>
      </c>
      <c r="E103" s="137">
        <v>0</v>
      </c>
      <c r="F103" s="117">
        <v>0</v>
      </c>
      <c r="G103" s="117">
        <v>0</v>
      </c>
      <c r="H103" s="117">
        <v>0</v>
      </c>
      <c r="I103" s="138">
        <v>4040154.5</v>
      </c>
      <c r="J103" s="117">
        <v>0</v>
      </c>
      <c r="K103" s="137">
        <v>0</v>
      </c>
      <c r="L103" s="117">
        <v>0</v>
      </c>
      <c r="M103" s="117">
        <v>0</v>
      </c>
      <c r="N103" s="117">
        <v>1907661.4</v>
      </c>
      <c r="O103" s="117">
        <v>0</v>
      </c>
      <c r="P103" s="137">
        <v>0</v>
      </c>
      <c r="Q103" s="117">
        <v>0</v>
      </c>
      <c r="R103" s="117">
        <v>0</v>
      </c>
      <c r="S103" s="117">
        <v>0</v>
      </c>
      <c r="T103" s="137">
        <v>174.5</v>
      </c>
      <c r="U103" s="108"/>
      <c r="V103" s="18"/>
      <c r="W103" s="108" t="s">
        <v>30</v>
      </c>
      <c r="X103" s="115">
        <v>90000</v>
      </c>
      <c r="Y103" s="115">
        <v>56404</v>
      </c>
      <c r="Z103" s="157" t="s">
        <v>233</v>
      </c>
      <c r="AA103" s="164" t="s">
        <v>284</v>
      </c>
      <c r="AB103" s="205" t="e">
        <f t="shared" si="5"/>
        <v>#DIV/0!</v>
      </c>
      <c r="AC103" s="198">
        <f t="shared" si="6"/>
        <v>62.671111111111109</v>
      </c>
      <c r="AD103" s="193">
        <v>926954.6</v>
      </c>
      <c r="AE103" s="193"/>
      <c r="AF103" s="193"/>
    </row>
    <row r="104" spans="1:32" ht="408" customHeight="1" x14ac:dyDescent="0.25">
      <c r="A104" s="161" t="s">
        <v>109</v>
      </c>
      <c r="B104" s="162" t="s">
        <v>345</v>
      </c>
      <c r="C104" s="116" t="s">
        <v>27</v>
      </c>
      <c r="D104" s="138">
        <v>0</v>
      </c>
      <c r="E104" s="138">
        <v>3850242.4</v>
      </c>
      <c r="F104" s="118">
        <v>0</v>
      </c>
      <c r="G104" s="118">
        <v>0</v>
      </c>
      <c r="H104" s="118">
        <v>0</v>
      </c>
      <c r="I104" s="138">
        <v>0</v>
      </c>
      <c r="J104" s="118">
        <v>0</v>
      </c>
      <c r="K104" s="138">
        <v>3850242.4</v>
      </c>
      <c r="L104" s="118">
        <v>0</v>
      </c>
      <c r="M104" s="118">
        <v>0</v>
      </c>
      <c r="N104" s="118">
        <v>0</v>
      </c>
      <c r="O104" s="118">
        <v>0</v>
      </c>
      <c r="P104" s="138">
        <v>1817294.2</v>
      </c>
      <c r="Q104" s="118">
        <v>0</v>
      </c>
      <c r="R104" s="118">
        <v>0</v>
      </c>
      <c r="S104" s="118">
        <v>0</v>
      </c>
      <c r="T104" s="138">
        <v>21288.3</v>
      </c>
      <c r="U104" s="108"/>
      <c r="V104" s="108"/>
      <c r="W104" s="108" t="s">
        <v>30</v>
      </c>
      <c r="X104" s="109">
        <v>33300</v>
      </c>
      <c r="Y104" s="109">
        <v>29525</v>
      </c>
      <c r="Z104" s="157" t="s">
        <v>233</v>
      </c>
      <c r="AA104" s="164" t="s">
        <v>284</v>
      </c>
      <c r="AB104" s="205">
        <f t="shared" si="5"/>
        <v>47.199475025260746</v>
      </c>
      <c r="AC104" s="198">
        <f t="shared" si="6"/>
        <v>88.663663663663655</v>
      </c>
      <c r="AD104" s="193">
        <v>897172.4</v>
      </c>
      <c r="AE104" s="193"/>
      <c r="AF104" s="193"/>
    </row>
    <row r="105" spans="1:32" ht="408.75" customHeight="1" x14ac:dyDescent="0.25">
      <c r="A105" s="161" t="s">
        <v>110</v>
      </c>
      <c r="B105" s="162" t="s">
        <v>346</v>
      </c>
      <c r="C105" s="116" t="s">
        <v>27</v>
      </c>
      <c r="D105" s="138">
        <v>7761678.2000000002</v>
      </c>
      <c r="E105" s="138">
        <v>0</v>
      </c>
      <c r="F105" s="118">
        <v>0</v>
      </c>
      <c r="G105" s="117">
        <v>0</v>
      </c>
      <c r="H105" s="117">
        <v>0</v>
      </c>
      <c r="I105" s="137">
        <v>7761678.2000000002</v>
      </c>
      <c r="J105" s="117">
        <v>0</v>
      </c>
      <c r="K105" s="138">
        <v>0</v>
      </c>
      <c r="L105" s="117">
        <v>0</v>
      </c>
      <c r="M105" s="117">
        <v>0</v>
      </c>
      <c r="N105" s="117">
        <v>3240295.1</v>
      </c>
      <c r="O105" s="117">
        <v>0</v>
      </c>
      <c r="P105" s="137">
        <v>0</v>
      </c>
      <c r="Q105" s="117">
        <v>0</v>
      </c>
      <c r="R105" s="117">
        <v>0</v>
      </c>
      <c r="S105" s="117">
        <v>0</v>
      </c>
      <c r="T105" s="137">
        <v>2.4</v>
      </c>
      <c r="U105" s="108"/>
      <c r="V105" s="18"/>
      <c r="W105" s="108" t="s">
        <v>30</v>
      </c>
      <c r="X105" s="115">
        <v>61944</v>
      </c>
      <c r="Y105" s="115">
        <v>56036</v>
      </c>
      <c r="Z105" s="157" t="s">
        <v>233</v>
      </c>
      <c r="AA105" s="164" t="s">
        <v>284</v>
      </c>
      <c r="AB105" s="205" t="e">
        <f t="shared" si="5"/>
        <v>#DIV/0!</v>
      </c>
      <c r="AC105" s="198">
        <f t="shared" si="6"/>
        <v>90.462353093116363</v>
      </c>
      <c r="AD105" s="193">
        <v>1621311.2</v>
      </c>
      <c r="AE105" s="193"/>
      <c r="AF105" s="193"/>
    </row>
    <row r="106" spans="1:32" ht="408.75" customHeight="1" x14ac:dyDescent="0.25">
      <c r="A106" s="161" t="s">
        <v>247</v>
      </c>
      <c r="B106" s="162" t="s">
        <v>347</v>
      </c>
      <c r="C106" s="116" t="s">
        <v>27</v>
      </c>
      <c r="D106" s="138">
        <v>8909599.3000000007</v>
      </c>
      <c r="E106" s="138">
        <v>2818557.6</v>
      </c>
      <c r="F106" s="118">
        <v>0</v>
      </c>
      <c r="G106" s="117">
        <v>0</v>
      </c>
      <c r="H106" s="117">
        <v>0</v>
      </c>
      <c r="I106" s="137">
        <v>11547427.300000001</v>
      </c>
      <c r="J106" s="117">
        <v>0</v>
      </c>
      <c r="K106" s="138">
        <v>3651556</v>
      </c>
      <c r="L106" s="117">
        <v>0</v>
      </c>
      <c r="M106" s="117">
        <v>0</v>
      </c>
      <c r="N106" s="117">
        <v>6509263.7000000002</v>
      </c>
      <c r="O106" s="117">
        <v>0</v>
      </c>
      <c r="P106" s="137">
        <v>2057733.8</v>
      </c>
      <c r="Q106" s="117"/>
      <c r="R106" s="117"/>
      <c r="S106" s="117"/>
      <c r="T106" s="137">
        <v>2117.3000000000002</v>
      </c>
      <c r="U106" s="108"/>
      <c r="V106" s="18"/>
      <c r="W106" s="108" t="s">
        <v>30</v>
      </c>
      <c r="X106" s="115">
        <v>206286</v>
      </c>
      <c r="Y106" s="115">
        <v>232902</v>
      </c>
      <c r="Z106" s="157" t="s">
        <v>31</v>
      </c>
      <c r="AA106" s="158"/>
      <c r="AB106" s="205">
        <f t="shared" si="5"/>
        <v>56.352245453718908</v>
      </c>
      <c r="AC106" s="198">
        <f t="shared" si="6"/>
        <v>112.90247520432797</v>
      </c>
      <c r="AD106" s="193">
        <v>3767155.1</v>
      </c>
      <c r="AE106" s="193"/>
      <c r="AF106" s="193"/>
    </row>
    <row r="107" spans="1:32" ht="393.75" customHeight="1" x14ac:dyDescent="0.25">
      <c r="A107" s="112" t="s">
        <v>39</v>
      </c>
      <c r="B107" s="162" t="s">
        <v>348</v>
      </c>
      <c r="C107" s="130" t="s">
        <v>27</v>
      </c>
      <c r="D107" s="138">
        <v>0</v>
      </c>
      <c r="E107" s="138">
        <v>17241.400000000001</v>
      </c>
      <c r="F107" s="117">
        <v>0</v>
      </c>
      <c r="G107" s="117">
        <v>0</v>
      </c>
      <c r="H107" s="117">
        <v>0</v>
      </c>
      <c r="I107" s="137">
        <v>0</v>
      </c>
      <c r="J107" s="117">
        <v>0</v>
      </c>
      <c r="K107" s="137">
        <v>17241.400000000001</v>
      </c>
      <c r="L107" s="117">
        <v>0</v>
      </c>
      <c r="M107" s="117">
        <v>0</v>
      </c>
      <c r="N107" s="117">
        <v>0</v>
      </c>
      <c r="O107" s="117">
        <v>0</v>
      </c>
      <c r="P107" s="137">
        <v>0</v>
      </c>
      <c r="Q107" s="117">
        <v>0</v>
      </c>
      <c r="R107" s="117">
        <v>0</v>
      </c>
      <c r="S107" s="117">
        <v>0</v>
      </c>
      <c r="T107" s="137">
        <v>0</v>
      </c>
      <c r="U107" s="108"/>
      <c r="V107" s="18"/>
      <c r="W107" s="18" t="s">
        <v>40</v>
      </c>
      <c r="X107" s="110">
        <v>15</v>
      </c>
      <c r="Y107" s="110">
        <v>0</v>
      </c>
      <c r="Z107" s="157" t="s">
        <v>233</v>
      </c>
      <c r="AA107" s="116" t="s">
        <v>249</v>
      </c>
      <c r="AB107" s="205">
        <f t="shared" si="5"/>
        <v>0</v>
      </c>
      <c r="AC107" s="198">
        <f t="shared" si="6"/>
        <v>0</v>
      </c>
      <c r="AD107" s="193">
        <v>17241.400000000001</v>
      </c>
      <c r="AE107" s="193"/>
      <c r="AF107" s="193"/>
    </row>
    <row r="108" spans="1:32" ht="385.5" customHeight="1" x14ac:dyDescent="0.25">
      <c r="A108" s="291" t="s">
        <v>41</v>
      </c>
      <c r="B108" s="289" t="s">
        <v>349</v>
      </c>
      <c r="C108" s="299" t="s">
        <v>27</v>
      </c>
      <c r="D108" s="267">
        <v>0</v>
      </c>
      <c r="E108" s="267">
        <v>79373</v>
      </c>
      <c r="F108" s="271">
        <v>0</v>
      </c>
      <c r="G108" s="271">
        <v>0</v>
      </c>
      <c r="H108" s="271">
        <v>0</v>
      </c>
      <c r="I108" s="267">
        <v>0</v>
      </c>
      <c r="J108" s="271">
        <v>0</v>
      </c>
      <c r="K108" s="267">
        <v>79373</v>
      </c>
      <c r="L108" s="271">
        <v>0</v>
      </c>
      <c r="M108" s="271">
        <v>0</v>
      </c>
      <c r="N108" s="271">
        <v>0</v>
      </c>
      <c r="O108" s="271">
        <v>0</v>
      </c>
      <c r="P108" s="267">
        <v>38000</v>
      </c>
      <c r="Q108" s="271">
        <v>0</v>
      </c>
      <c r="R108" s="271">
        <v>0</v>
      </c>
      <c r="S108" s="271">
        <v>0</v>
      </c>
      <c r="T108" s="267">
        <v>0</v>
      </c>
      <c r="U108" s="285"/>
      <c r="V108" s="275"/>
      <c r="W108" s="275" t="s">
        <v>30</v>
      </c>
      <c r="X108" s="295">
        <v>254</v>
      </c>
      <c r="Y108" s="295">
        <v>118</v>
      </c>
      <c r="Z108" s="287" t="s">
        <v>233</v>
      </c>
      <c r="AA108" s="289" t="s">
        <v>284</v>
      </c>
      <c r="AB108" s="205">
        <f t="shared" si="5"/>
        <v>47.875222052839128</v>
      </c>
      <c r="AC108" s="198">
        <f t="shared" si="6"/>
        <v>46.45669291338583</v>
      </c>
      <c r="AD108" s="193">
        <v>14500</v>
      </c>
      <c r="AE108" s="193"/>
      <c r="AF108" s="193"/>
    </row>
    <row r="109" spans="1:32" ht="148.5" hidden="1" customHeight="1" x14ac:dyDescent="0.25">
      <c r="A109" s="292"/>
      <c r="B109" s="290"/>
      <c r="C109" s="300"/>
      <c r="D109" s="268"/>
      <c r="E109" s="268"/>
      <c r="F109" s="272"/>
      <c r="G109" s="272"/>
      <c r="H109" s="272"/>
      <c r="I109" s="268"/>
      <c r="J109" s="272"/>
      <c r="K109" s="268"/>
      <c r="L109" s="272"/>
      <c r="M109" s="272"/>
      <c r="N109" s="272"/>
      <c r="O109" s="272"/>
      <c r="P109" s="268"/>
      <c r="Q109" s="272"/>
      <c r="R109" s="272"/>
      <c r="S109" s="272"/>
      <c r="T109" s="268"/>
      <c r="U109" s="286"/>
      <c r="V109" s="276"/>
      <c r="W109" s="276"/>
      <c r="X109" s="296"/>
      <c r="Y109" s="296"/>
      <c r="Z109" s="288"/>
      <c r="AA109" s="290"/>
      <c r="AB109" s="205" t="e">
        <f t="shared" si="5"/>
        <v>#DIV/0!</v>
      </c>
      <c r="AC109" s="198" t="e">
        <f t="shared" si="6"/>
        <v>#DIV/0!</v>
      </c>
      <c r="AD109" s="193"/>
      <c r="AE109" s="193"/>
      <c r="AF109" s="193"/>
    </row>
    <row r="110" spans="1:32" ht="211.5" x14ac:dyDescent="0.25">
      <c r="A110" s="112" t="s">
        <v>43</v>
      </c>
      <c r="B110" s="162" t="s">
        <v>350</v>
      </c>
      <c r="C110" s="130" t="s">
        <v>27</v>
      </c>
      <c r="D110" s="137">
        <v>0</v>
      </c>
      <c r="E110" s="138">
        <v>1447526.2</v>
      </c>
      <c r="F110" s="113">
        <v>0</v>
      </c>
      <c r="G110" s="111">
        <v>0</v>
      </c>
      <c r="H110" s="111">
        <v>0</v>
      </c>
      <c r="I110" s="137">
        <v>0</v>
      </c>
      <c r="J110" s="111">
        <v>0</v>
      </c>
      <c r="K110" s="138">
        <v>1447526.2</v>
      </c>
      <c r="L110" s="111">
        <v>0</v>
      </c>
      <c r="M110" s="111">
        <v>0</v>
      </c>
      <c r="N110" s="111">
        <v>0</v>
      </c>
      <c r="O110" s="111">
        <v>0</v>
      </c>
      <c r="P110" s="137">
        <v>751077.2</v>
      </c>
      <c r="Q110" s="111">
        <v>0</v>
      </c>
      <c r="R110" s="111">
        <v>0</v>
      </c>
      <c r="S110" s="111">
        <v>0</v>
      </c>
      <c r="T110" s="137">
        <v>10485.9</v>
      </c>
      <c r="U110" s="211"/>
      <c r="V110" s="110"/>
      <c r="W110" s="157" t="s">
        <v>30</v>
      </c>
      <c r="X110" s="115">
        <v>271428</v>
      </c>
      <c r="Y110" s="109">
        <v>284704</v>
      </c>
      <c r="Z110" s="157" t="s">
        <v>31</v>
      </c>
      <c r="AA110" s="158"/>
      <c r="AB110" s="205">
        <f t="shared" si="5"/>
        <v>51.886950301832194</v>
      </c>
      <c r="AC110" s="198">
        <f t="shared" si="6"/>
        <v>104.89116819193302</v>
      </c>
      <c r="AD110" s="193">
        <v>370070.9</v>
      </c>
      <c r="AE110" s="193"/>
      <c r="AF110" s="193"/>
    </row>
    <row r="111" spans="1:32" ht="211.5" x14ac:dyDescent="0.25">
      <c r="A111" s="161" t="s">
        <v>91</v>
      </c>
      <c r="B111" s="162" t="s">
        <v>111</v>
      </c>
      <c r="C111" s="130" t="s">
        <v>27</v>
      </c>
      <c r="D111" s="138">
        <v>36293.599999999999</v>
      </c>
      <c r="E111" s="137">
        <v>0</v>
      </c>
      <c r="F111" s="111">
        <v>0</v>
      </c>
      <c r="G111" s="111">
        <v>0</v>
      </c>
      <c r="H111" s="111">
        <v>0</v>
      </c>
      <c r="I111" s="138">
        <v>36293.599999999999</v>
      </c>
      <c r="J111" s="111">
        <v>0</v>
      </c>
      <c r="K111" s="137">
        <v>0</v>
      </c>
      <c r="L111" s="111">
        <v>0</v>
      </c>
      <c r="M111" s="111">
        <v>0</v>
      </c>
      <c r="N111" s="111">
        <v>14783.9</v>
      </c>
      <c r="O111" s="111">
        <v>0</v>
      </c>
      <c r="P111" s="137">
        <v>0</v>
      </c>
      <c r="Q111" s="111">
        <v>0</v>
      </c>
      <c r="R111" s="111">
        <v>0</v>
      </c>
      <c r="S111" s="111">
        <v>0</v>
      </c>
      <c r="T111" s="137">
        <v>0</v>
      </c>
      <c r="U111" s="211"/>
      <c r="V111" s="110"/>
      <c r="W111" s="110" t="s">
        <v>30</v>
      </c>
      <c r="X111" s="115">
        <v>1500</v>
      </c>
      <c r="Y111" s="110">
        <v>634</v>
      </c>
      <c r="Z111" s="157" t="s">
        <v>233</v>
      </c>
      <c r="AA111" s="164" t="s">
        <v>284</v>
      </c>
      <c r="AB111" s="205" t="e">
        <f t="shared" si="5"/>
        <v>#DIV/0!</v>
      </c>
      <c r="AC111" s="198">
        <f t="shared" si="6"/>
        <v>42.266666666666666</v>
      </c>
      <c r="AD111" s="193">
        <v>4862.5</v>
      </c>
      <c r="AE111" s="193"/>
      <c r="AF111" s="193"/>
    </row>
    <row r="112" spans="1:32" ht="282" x14ac:dyDescent="0.25">
      <c r="A112" s="161" t="s">
        <v>94</v>
      </c>
      <c r="B112" s="162" t="s">
        <v>351</v>
      </c>
      <c r="C112" s="130" t="s">
        <v>27</v>
      </c>
      <c r="D112" s="138">
        <v>0</v>
      </c>
      <c r="E112" s="138">
        <v>549580.9</v>
      </c>
      <c r="F112" s="111">
        <v>0</v>
      </c>
      <c r="G112" s="111">
        <v>0</v>
      </c>
      <c r="H112" s="111">
        <v>0</v>
      </c>
      <c r="I112" s="138">
        <v>0</v>
      </c>
      <c r="J112" s="111">
        <v>0</v>
      </c>
      <c r="K112" s="138">
        <v>549580.9</v>
      </c>
      <c r="L112" s="111">
        <v>0</v>
      </c>
      <c r="M112" s="111">
        <v>0</v>
      </c>
      <c r="N112" s="111">
        <v>0</v>
      </c>
      <c r="O112" s="111">
        <v>0</v>
      </c>
      <c r="P112" s="137">
        <v>324877</v>
      </c>
      <c r="Q112" s="111">
        <v>0</v>
      </c>
      <c r="R112" s="111">
        <v>0</v>
      </c>
      <c r="S112" s="111">
        <v>0</v>
      </c>
      <c r="T112" s="137">
        <v>957.4</v>
      </c>
      <c r="U112" s="211"/>
      <c r="V112" s="110"/>
      <c r="W112" s="110" t="s">
        <v>30</v>
      </c>
      <c r="X112" s="115">
        <v>4086</v>
      </c>
      <c r="Y112" s="115">
        <v>2381</v>
      </c>
      <c r="Z112" s="157" t="s">
        <v>233</v>
      </c>
      <c r="AA112" s="164" t="s">
        <v>284</v>
      </c>
      <c r="AB112" s="205">
        <f t="shared" si="5"/>
        <v>59.11359001013318</v>
      </c>
      <c r="AC112" s="198">
        <f t="shared" si="6"/>
        <v>58.272148800783164</v>
      </c>
      <c r="AD112" s="193">
        <v>133938.70000000001</v>
      </c>
      <c r="AE112" s="193"/>
      <c r="AF112" s="193"/>
    </row>
    <row r="113" spans="1:32" ht="211.5" x14ac:dyDescent="0.25">
      <c r="A113" s="161" t="s">
        <v>95</v>
      </c>
      <c r="B113" s="162" t="s">
        <v>352</v>
      </c>
      <c r="C113" s="130" t="s">
        <v>27</v>
      </c>
      <c r="D113" s="138">
        <v>0</v>
      </c>
      <c r="E113" s="138">
        <v>266.3</v>
      </c>
      <c r="F113" s="111">
        <v>0</v>
      </c>
      <c r="G113" s="111">
        <v>0</v>
      </c>
      <c r="H113" s="111">
        <v>0</v>
      </c>
      <c r="I113" s="138">
        <v>0</v>
      </c>
      <c r="J113" s="111">
        <v>0</v>
      </c>
      <c r="K113" s="138">
        <v>266.3</v>
      </c>
      <c r="L113" s="111">
        <v>0</v>
      </c>
      <c r="M113" s="111">
        <v>0</v>
      </c>
      <c r="N113" s="111">
        <v>0</v>
      </c>
      <c r="O113" s="111">
        <v>0</v>
      </c>
      <c r="P113" s="137">
        <v>0</v>
      </c>
      <c r="Q113" s="111">
        <v>0</v>
      </c>
      <c r="R113" s="111">
        <v>0</v>
      </c>
      <c r="S113" s="111">
        <v>0</v>
      </c>
      <c r="T113" s="137">
        <v>0</v>
      </c>
      <c r="U113" s="211"/>
      <c r="V113" s="110"/>
      <c r="W113" s="110" t="s">
        <v>112</v>
      </c>
      <c r="X113" s="115">
        <v>8803</v>
      </c>
      <c r="Y113" s="115">
        <v>0</v>
      </c>
      <c r="Z113" s="157" t="s">
        <v>233</v>
      </c>
      <c r="AA113" s="164" t="s">
        <v>284</v>
      </c>
      <c r="AB113" s="205">
        <f t="shared" si="5"/>
        <v>0</v>
      </c>
      <c r="AC113" s="198">
        <f t="shared" si="6"/>
        <v>0</v>
      </c>
      <c r="AD113" s="193"/>
      <c r="AE113" s="193"/>
      <c r="AF113" s="193"/>
    </row>
    <row r="114" spans="1:32" ht="409.5" customHeight="1" x14ac:dyDescent="0.25">
      <c r="A114" s="112" t="s">
        <v>45</v>
      </c>
      <c r="B114" s="162" t="s">
        <v>353</v>
      </c>
      <c r="C114" s="130" t="s">
        <v>27</v>
      </c>
      <c r="D114" s="137">
        <v>0</v>
      </c>
      <c r="E114" s="138">
        <v>1974584.1</v>
      </c>
      <c r="F114" s="113">
        <v>0</v>
      </c>
      <c r="G114" s="117">
        <v>0</v>
      </c>
      <c r="H114" s="117">
        <v>0</v>
      </c>
      <c r="I114" s="137">
        <v>0</v>
      </c>
      <c r="J114" s="117">
        <v>0</v>
      </c>
      <c r="K114" s="137">
        <v>1974584.1</v>
      </c>
      <c r="L114" s="117">
        <v>0</v>
      </c>
      <c r="M114" s="117">
        <v>0</v>
      </c>
      <c r="N114" s="117">
        <v>0</v>
      </c>
      <c r="O114" s="117">
        <v>0</v>
      </c>
      <c r="P114" s="137">
        <v>989487.2</v>
      </c>
      <c r="Q114" s="117">
        <v>0</v>
      </c>
      <c r="R114" s="117">
        <v>0</v>
      </c>
      <c r="S114" s="117">
        <v>0</v>
      </c>
      <c r="T114" s="137">
        <v>0</v>
      </c>
      <c r="U114" s="108"/>
      <c r="V114" s="18"/>
      <c r="W114" s="18" t="s">
        <v>30</v>
      </c>
      <c r="X114" s="109">
        <v>13332</v>
      </c>
      <c r="Y114" s="115">
        <v>13753</v>
      </c>
      <c r="Z114" s="157" t="s">
        <v>31</v>
      </c>
      <c r="AA114" s="158"/>
      <c r="AB114" s="205">
        <f t="shared" si="5"/>
        <v>50.111170245926715</v>
      </c>
      <c r="AC114" s="198">
        <f t="shared" si="6"/>
        <v>103.15781578157817</v>
      </c>
      <c r="AD114" s="193">
        <v>500092.8</v>
      </c>
      <c r="AE114" s="193"/>
      <c r="AF114" s="193"/>
    </row>
    <row r="115" spans="1:32" ht="409.5" x14ac:dyDescent="0.25">
      <c r="A115" s="112" t="s">
        <v>46</v>
      </c>
      <c r="B115" s="162" t="s">
        <v>354</v>
      </c>
      <c r="C115" s="130" t="s">
        <v>27</v>
      </c>
      <c r="D115" s="137">
        <v>0</v>
      </c>
      <c r="E115" s="138">
        <v>1705351</v>
      </c>
      <c r="F115" s="118">
        <v>0</v>
      </c>
      <c r="G115" s="117">
        <v>0</v>
      </c>
      <c r="H115" s="117">
        <v>0</v>
      </c>
      <c r="I115" s="137">
        <v>0</v>
      </c>
      <c r="J115" s="117">
        <v>0</v>
      </c>
      <c r="K115" s="137">
        <v>1705351</v>
      </c>
      <c r="L115" s="117">
        <v>0</v>
      </c>
      <c r="M115" s="111">
        <v>0</v>
      </c>
      <c r="N115" s="117">
        <v>0</v>
      </c>
      <c r="O115" s="117">
        <v>0</v>
      </c>
      <c r="P115" s="137">
        <v>719005.5</v>
      </c>
      <c r="Q115" s="117">
        <v>0</v>
      </c>
      <c r="R115" s="117">
        <v>0</v>
      </c>
      <c r="S115" s="117">
        <v>0</v>
      </c>
      <c r="T115" s="137">
        <v>0</v>
      </c>
      <c r="U115" s="108"/>
      <c r="V115" s="18"/>
      <c r="W115" s="110" t="s">
        <v>30</v>
      </c>
      <c r="X115" s="115">
        <v>8276</v>
      </c>
      <c r="Y115" s="115">
        <v>8108</v>
      </c>
      <c r="Z115" s="157" t="s">
        <v>233</v>
      </c>
      <c r="AA115" s="164" t="s">
        <v>284</v>
      </c>
      <c r="AB115" s="205">
        <f t="shared" si="5"/>
        <v>42.161730928119781</v>
      </c>
      <c r="AC115" s="198">
        <f t="shared" si="6"/>
        <v>97.97003383276946</v>
      </c>
      <c r="AD115" s="193">
        <v>326050.59999999998</v>
      </c>
      <c r="AE115" s="193"/>
      <c r="AF115" s="193"/>
    </row>
    <row r="116" spans="1:32" ht="389.25" customHeight="1" x14ac:dyDescent="0.25">
      <c r="A116" s="112" t="s">
        <v>113</v>
      </c>
      <c r="B116" s="162" t="s">
        <v>355</v>
      </c>
      <c r="C116" s="130" t="s">
        <v>27</v>
      </c>
      <c r="D116" s="137">
        <v>0</v>
      </c>
      <c r="E116" s="138">
        <v>16401.2</v>
      </c>
      <c r="F116" s="118">
        <v>0</v>
      </c>
      <c r="G116" s="117">
        <v>0</v>
      </c>
      <c r="H116" s="117">
        <v>0</v>
      </c>
      <c r="I116" s="137">
        <v>0</v>
      </c>
      <c r="J116" s="117">
        <v>0</v>
      </c>
      <c r="K116" s="137">
        <v>16401.2</v>
      </c>
      <c r="L116" s="117">
        <v>0</v>
      </c>
      <c r="M116" s="117">
        <v>0</v>
      </c>
      <c r="N116" s="117">
        <v>0</v>
      </c>
      <c r="O116" s="117">
        <v>0</v>
      </c>
      <c r="P116" s="137">
        <v>3247.8</v>
      </c>
      <c r="Q116" s="117">
        <v>0</v>
      </c>
      <c r="R116" s="117">
        <v>0</v>
      </c>
      <c r="S116" s="117">
        <v>0</v>
      </c>
      <c r="T116" s="137">
        <v>0</v>
      </c>
      <c r="U116" s="108"/>
      <c r="V116" s="18"/>
      <c r="W116" s="18" t="s">
        <v>30</v>
      </c>
      <c r="X116" s="110">
        <v>120</v>
      </c>
      <c r="Y116" s="110">
        <v>67</v>
      </c>
      <c r="Z116" s="157" t="s">
        <v>233</v>
      </c>
      <c r="AA116" s="164" t="s">
        <v>284</v>
      </c>
      <c r="AB116" s="205">
        <f t="shared" si="5"/>
        <v>19.802209594419921</v>
      </c>
      <c r="AC116" s="198">
        <f t="shared" si="6"/>
        <v>55.833333333333336</v>
      </c>
      <c r="AD116" s="193">
        <v>1721.3</v>
      </c>
      <c r="AE116" s="193"/>
      <c r="AF116" s="193"/>
    </row>
    <row r="117" spans="1:32" ht="408.75" customHeight="1" x14ac:dyDescent="0.25">
      <c r="A117" s="112" t="s">
        <v>114</v>
      </c>
      <c r="B117" s="162" t="s">
        <v>356</v>
      </c>
      <c r="C117" s="130" t="s">
        <v>27</v>
      </c>
      <c r="D117" s="137">
        <v>0</v>
      </c>
      <c r="E117" s="137">
        <v>20744.599999999999</v>
      </c>
      <c r="F117" s="117">
        <v>0</v>
      </c>
      <c r="G117" s="117">
        <v>0</v>
      </c>
      <c r="H117" s="117">
        <v>0</v>
      </c>
      <c r="I117" s="137">
        <v>0</v>
      </c>
      <c r="J117" s="117">
        <v>0</v>
      </c>
      <c r="K117" s="137">
        <v>20744.599999999999</v>
      </c>
      <c r="L117" s="117">
        <v>0</v>
      </c>
      <c r="M117" s="117">
        <v>0</v>
      </c>
      <c r="N117" s="117">
        <v>0</v>
      </c>
      <c r="O117" s="117">
        <v>0</v>
      </c>
      <c r="P117" s="137">
        <v>3638.5</v>
      </c>
      <c r="Q117" s="117">
        <v>0</v>
      </c>
      <c r="R117" s="117">
        <v>0</v>
      </c>
      <c r="S117" s="117">
        <v>0</v>
      </c>
      <c r="T117" s="137">
        <v>0</v>
      </c>
      <c r="U117" s="108"/>
      <c r="V117" s="18"/>
      <c r="W117" s="18" t="s">
        <v>30</v>
      </c>
      <c r="X117" s="110">
        <v>121</v>
      </c>
      <c r="Y117" s="110">
        <v>67</v>
      </c>
      <c r="Z117" s="157" t="s">
        <v>233</v>
      </c>
      <c r="AA117" s="164" t="s">
        <v>284</v>
      </c>
      <c r="AB117" s="205">
        <f t="shared" si="5"/>
        <v>17.539504256529412</v>
      </c>
      <c r="AC117" s="198">
        <f t="shared" si="6"/>
        <v>55.371900826446286</v>
      </c>
      <c r="AD117" s="193">
        <v>1822.4</v>
      </c>
      <c r="AE117" s="193"/>
      <c r="AF117" s="193"/>
    </row>
    <row r="118" spans="1:32" ht="409.5" customHeight="1" x14ac:dyDescent="0.25">
      <c r="A118" s="291" t="s">
        <v>115</v>
      </c>
      <c r="B118" s="289" t="s">
        <v>357</v>
      </c>
      <c r="C118" s="299" t="s">
        <v>27</v>
      </c>
      <c r="D118" s="267">
        <v>0</v>
      </c>
      <c r="E118" s="293">
        <v>388611.7</v>
      </c>
      <c r="F118" s="297">
        <v>0</v>
      </c>
      <c r="G118" s="271">
        <v>0</v>
      </c>
      <c r="H118" s="271">
        <v>0</v>
      </c>
      <c r="I118" s="267">
        <v>0</v>
      </c>
      <c r="J118" s="271">
        <v>0</v>
      </c>
      <c r="K118" s="267">
        <v>388611.7</v>
      </c>
      <c r="L118" s="271">
        <v>0</v>
      </c>
      <c r="M118" s="271">
        <v>0</v>
      </c>
      <c r="N118" s="271">
        <v>0</v>
      </c>
      <c r="O118" s="271">
        <v>0</v>
      </c>
      <c r="P118" s="267">
        <v>163348.1</v>
      </c>
      <c r="Q118" s="271">
        <v>0</v>
      </c>
      <c r="R118" s="271">
        <v>0</v>
      </c>
      <c r="S118" s="271">
        <v>0</v>
      </c>
      <c r="T118" s="267">
        <v>0</v>
      </c>
      <c r="U118" s="285"/>
      <c r="V118" s="275"/>
      <c r="W118" s="275" t="s">
        <v>30</v>
      </c>
      <c r="X118" s="275">
        <v>526</v>
      </c>
      <c r="Y118" s="275">
        <v>485</v>
      </c>
      <c r="Z118" s="287" t="s">
        <v>233</v>
      </c>
      <c r="AA118" s="289" t="s">
        <v>284</v>
      </c>
      <c r="AB118" s="205">
        <f t="shared" si="5"/>
        <v>42.033757604312996</v>
      </c>
      <c r="AC118" s="198">
        <f t="shared" si="6"/>
        <v>92.205323193916357</v>
      </c>
      <c r="AD118" s="193">
        <v>71871.5</v>
      </c>
      <c r="AE118" s="193"/>
      <c r="AF118" s="193"/>
    </row>
    <row r="119" spans="1:32" ht="409.6" customHeight="1" x14ac:dyDescent="0.25">
      <c r="A119" s="292"/>
      <c r="B119" s="290"/>
      <c r="C119" s="300"/>
      <c r="D119" s="268"/>
      <c r="E119" s="294"/>
      <c r="F119" s="298"/>
      <c r="G119" s="272"/>
      <c r="H119" s="272"/>
      <c r="I119" s="268"/>
      <c r="J119" s="272"/>
      <c r="K119" s="268"/>
      <c r="L119" s="272"/>
      <c r="M119" s="272"/>
      <c r="N119" s="272"/>
      <c r="O119" s="272"/>
      <c r="P119" s="268"/>
      <c r="Q119" s="272"/>
      <c r="R119" s="272"/>
      <c r="S119" s="272"/>
      <c r="T119" s="268"/>
      <c r="U119" s="286"/>
      <c r="V119" s="276"/>
      <c r="W119" s="276"/>
      <c r="X119" s="276"/>
      <c r="Y119" s="276"/>
      <c r="Z119" s="288"/>
      <c r="AA119" s="290"/>
      <c r="AB119" s="205" t="e">
        <f t="shared" si="5"/>
        <v>#DIV/0!</v>
      </c>
      <c r="AC119" s="198"/>
      <c r="AD119" s="193"/>
      <c r="AE119" s="193"/>
      <c r="AF119" s="193"/>
    </row>
    <row r="120" spans="1:32" ht="408.75" customHeight="1" x14ac:dyDescent="0.25">
      <c r="A120" s="291" t="s">
        <v>116</v>
      </c>
      <c r="B120" s="289" t="s">
        <v>358</v>
      </c>
      <c r="C120" s="299" t="s">
        <v>27</v>
      </c>
      <c r="D120" s="267">
        <v>0</v>
      </c>
      <c r="E120" s="293">
        <v>28014.799999999999</v>
      </c>
      <c r="F120" s="297">
        <v>0</v>
      </c>
      <c r="G120" s="271">
        <v>0</v>
      </c>
      <c r="H120" s="271">
        <v>0</v>
      </c>
      <c r="I120" s="267">
        <v>0</v>
      </c>
      <c r="J120" s="271">
        <v>0</v>
      </c>
      <c r="K120" s="267">
        <v>28014.799999999999</v>
      </c>
      <c r="L120" s="271">
        <v>0</v>
      </c>
      <c r="M120" s="271">
        <v>0</v>
      </c>
      <c r="N120" s="271">
        <v>0</v>
      </c>
      <c r="O120" s="271">
        <v>0</v>
      </c>
      <c r="P120" s="267">
        <v>11537.6</v>
      </c>
      <c r="Q120" s="271">
        <v>0</v>
      </c>
      <c r="R120" s="271">
        <v>0</v>
      </c>
      <c r="S120" s="271">
        <v>0</v>
      </c>
      <c r="T120" s="267">
        <v>0</v>
      </c>
      <c r="U120" s="283"/>
      <c r="V120" s="275"/>
      <c r="W120" s="275" t="s">
        <v>30</v>
      </c>
      <c r="X120" s="275">
        <v>44</v>
      </c>
      <c r="Y120" s="275">
        <v>44</v>
      </c>
      <c r="Z120" s="287" t="s">
        <v>233</v>
      </c>
      <c r="AA120" s="289" t="s">
        <v>284</v>
      </c>
      <c r="AB120" s="205">
        <f t="shared" si="5"/>
        <v>41.183945628739096</v>
      </c>
      <c r="AC120" s="198">
        <f t="shared" si="6"/>
        <v>100</v>
      </c>
      <c r="AD120" s="193">
        <v>5028.6000000000004</v>
      </c>
      <c r="AE120" s="193"/>
      <c r="AF120" s="193"/>
    </row>
    <row r="121" spans="1:32" ht="258.75" customHeight="1" x14ac:dyDescent="0.25">
      <c r="A121" s="292"/>
      <c r="B121" s="290"/>
      <c r="C121" s="300"/>
      <c r="D121" s="268"/>
      <c r="E121" s="294"/>
      <c r="F121" s="298"/>
      <c r="G121" s="272"/>
      <c r="H121" s="272"/>
      <c r="I121" s="268"/>
      <c r="J121" s="272"/>
      <c r="K121" s="268"/>
      <c r="L121" s="272"/>
      <c r="M121" s="272"/>
      <c r="N121" s="272"/>
      <c r="O121" s="272"/>
      <c r="P121" s="268"/>
      <c r="Q121" s="272"/>
      <c r="R121" s="272"/>
      <c r="S121" s="272"/>
      <c r="T121" s="268"/>
      <c r="U121" s="284"/>
      <c r="V121" s="276"/>
      <c r="W121" s="276"/>
      <c r="X121" s="276"/>
      <c r="Y121" s="276"/>
      <c r="Z121" s="288"/>
      <c r="AA121" s="290"/>
      <c r="AB121" s="205" t="e">
        <f t="shared" si="5"/>
        <v>#DIV/0!</v>
      </c>
      <c r="AC121" s="198"/>
      <c r="AD121" s="193"/>
      <c r="AE121" s="193"/>
      <c r="AF121" s="193"/>
    </row>
    <row r="122" spans="1:32" ht="408.75" customHeight="1" x14ac:dyDescent="0.25">
      <c r="A122" s="112" t="s">
        <v>117</v>
      </c>
      <c r="B122" s="162" t="s">
        <v>359</v>
      </c>
      <c r="C122" s="130" t="s">
        <v>27</v>
      </c>
      <c r="D122" s="137">
        <v>0</v>
      </c>
      <c r="E122" s="137">
        <v>182404.8</v>
      </c>
      <c r="F122" s="117">
        <v>0</v>
      </c>
      <c r="G122" s="117">
        <v>0</v>
      </c>
      <c r="H122" s="117">
        <v>0</v>
      </c>
      <c r="I122" s="137">
        <v>0</v>
      </c>
      <c r="J122" s="117">
        <v>0</v>
      </c>
      <c r="K122" s="137">
        <v>182404.8</v>
      </c>
      <c r="L122" s="117">
        <v>0</v>
      </c>
      <c r="M122" s="117">
        <v>0</v>
      </c>
      <c r="N122" s="117">
        <v>0</v>
      </c>
      <c r="O122" s="117">
        <v>0</v>
      </c>
      <c r="P122" s="137">
        <v>78191</v>
      </c>
      <c r="Q122" s="117">
        <v>0</v>
      </c>
      <c r="R122" s="117">
        <v>0</v>
      </c>
      <c r="S122" s="117">
        <v>0</v>
      </c>
      <c r="T122" s="137">
        <v>0</v>
      </c>
      <c r="U122" s="108"/>
      <c r="V122" s="18"/>
      <c r="W122" s="18" t="s">
        <v>30</v>
      </c>
      <c r="X122" s="110">
        <v>212</v>
      </c>
      <c r="Y122" s="110">
        <v>209</v>
      </c>
      <c r="Z122" s="157" t="s">
        <v>233</v>
      </c>
      <c r="AA122" s="164" t="s">
        <v>284</v>
      </c>
      <c r="AB122" s="205">
        <f t="shared" si="5"/>
        <v>42.86674473478768</v>
      </c>
      <c r="AC122" s="198">
        <f t="shared" si="6"/>
        <v>98.584905660377359</v>
      </c>
      <c r="AD122" s="193">
        <v>35110.5</v>
      </c>
      <c r="AE122" s="193"/>
      <c r="AF122" s="193"/>
    </row>
    <row r="123" spans="1:32" ht="408.75" customHeight="1" x14ac:dyDescent="0.25">
      <c r="A123" s="291" t="s">
        <v>118</v>
      </c>
      <c r="B123" s="289" t="s">
        <v>360</v>
      </c>
      <c r="C123" s="299" t="s">
        <v>27</v>
      </c>
      <c r="D123" s="267">
        <v>391.8</v>
      </c>
      <c r="E123" s="267">
        <v>0</v>
      </c>
      <c r="F123" s="271">
        <v>0</v>
      </c>
      <c r="G123" s="271">
        <v>0</v>
      </c>
      <c r="H123" s="271">
        <v>0</v>
      </c>
      <c r="I123" s="267">
        <v>391.8</v>
      </c>
      <c r="J123" s="271">
        <v>0</v>
      </c>
      <c r="K123" s="267">
        <v>0</v>
      </c>
      <c r="L123" s="271">
        <v>0</v>
      </c>
      <c r="M123" s="271">
        <v>0</v>
      </c>
      <c r="N123" s="271">
        <v>0</v>
      </c>
      <c r="O123" s="271">
        <v>0</v>
      </c>
      <c r="P123" s="267">
        <v>0</v>
      </c>
      <c r="Q123" s="271">
        <v>0</v>
      </c>
      <c r="R123" s="271">
        <v>0</v>
      </c>
      <c r="S123" s="271">
        <v>0</v>
      </c>
      <c r="T123" s="267">
        <v>0</v>
      </c>
      <c r="U123" s="289"/>
      <c r="V123" s="275"/>
      <c r="W123" s="275" t="s">
        <v>30</v>
      </c>
      <c r="X123" s="275">
        <v>8</v>
      </c>
      <c r="Y123" s="275">
        <v>0</v>
      </c>
      <c r="Z123" s="287" t="s">
        <v>233</v>
      </c>
      <c r="AA123" s="289" t="s">
        <v>249</v>
      </c>
      <c r="AB123" s="205" t="e">
        <f t="shared" si="5"/>
        <v>#DIV/0!</v>
      </c>
      <c r="AC123" s="198">
        <f t="shared" si="6"/>
        <v>0</v>
      </c>
      <c r="AD123" s="193"/>
      <c r="AE123" s="193"/>
      <c r="AF123" s="193"/>
    </row>
    <row r="124" spans="1:32" ht="301.5" customHeight="1" x14ac:dyDescent="0.25">
      <c r="A124" s="292"/>
      <c r="B124" s="290"/>
      <c r="C124" s="300"/>
      <c r="D124" s="268"/>
      <c r="E124" s="268"/>
      <c r="F124" s="272"/>
      <c r="G124" s="272"/>
      <c r="H124" s="272"/>
      <c r="I124" s="268"/>
      <c r="J124" s="272"/>
      <c r="K124" s="268"/>
      <c r="L124" s="272"/>
      <c r="M124" s="272"/>
      <c r="N124" s="272"/>
      <c r="O124" s="272"/>
      <c r="P124" s="268"/>
      <c r="Q124" s="272"/>
      <c r="R124" s="272"/>
      <c r="S124" s="272"/>
      <c r="T124" s="268"/>
      <c r="U124" s="290"/>
      <c r="V124" s="276"/>
      <c r="W124" s="276"/>
      <c r="X124" s="276"/>
      <c r="Y124" s="276"/>
      <c r="Z124" s="288"/>
      <c r="AA124" s="290"/>
      <c r="AB124" s="205" t="e">
        <f t="shared" si="5"/>
        <v>#DIV/0!</v>
      </c>
      <c r="AC124" s="198"/>
      <c r="AD124" s="193"/>
      <c r="AE124" s="193"/>
      <c r="AF124" s="193"/>
    </row>
    <row r="125" spans="1:32" ht="408.75" customHeight="1" x14ac:dyDescent="0.25">
      <c r="A125" s="112" t="s">
        <v>53</v>
      </c>
      <c r="B125" s="162" t="s">
        <v>361</v>
      </c>
      <c r="C125" s="130" t="s">
        <v>27</v>
      </c>
      <c r="D125" s="137">
        <v>0</v>
      </c>
      <c r="E125" s="137">
        <v>26066.799999999999</v>
      </c>
      <c r="F125" s="117">
        <v>0</v>
      </c>
      <c r="G125" s="117">
        <v>0</v>
      </c>
      <c r="H125" s="117">
        <v>0</v>
      </c>
      <c r="I125" s="137">
        <v>0</v>
      </c>
      <c r="J125" s="117">
        <v>0</v>
      </c>
      <c r="K125" s="137">
        <v>26066.799999999999</v>
      </c>
      <c r="L125" s="117">
        <v>0</v>
      </c>
      <c r="M125" s="117">
        <v>0</v>
      </c>
      <c r="N125" s="117">
        <v>0</v>
      </c>
      <c r="O125" s="117">
        <v>0</v>
      </c>
      <c r="P125" s="137">
        <v>10930.4</v>
      </c>
      <c r="Q125" s="117">
        <v>0</v>
      </c>
      <c r="R125" s="117">
        <v>0</v>
      </c>
      <c r="S125" s="117">
        <v>0</v>
      </c>
      <c r="T125" s="137">
        <v>0</v>
      </c>
      <c r="U125" s="108"/>
      <c r="V125" s="108"/>
      <c r="W125" s="18" t="s">
        <v>30</v>
      </c>
      <c r="X125" s="110">
        <v>1600</v>
      </c>
      <c r="Y125" s="110">
        <v>342</v>
      </c>
      <c r="Z125" s="157" t="s">
        <v>233</v>
      </c>
      <c r="AA125" s="164" t="s">
        <v>284</v>
      </c>
      <c r="AB125" s="205">
        <f t="shared" si="5"/>
        <v>41.932266331118512</v>
      </c>
      <c r="AC125" s="198">
        <f t="shared" si="6"/>
        <v>21.375</v>
      </c>
      <c r="AD125" s="193">
        <v>3643.4</v>
      </c>
      <c r="AE125" s="193"/>
      <c r="AF125" s="193"/>
    </row>
    <row r="126" spans="1:32" ht="45.75" x14ac:dyDescent="0.25">
      <c r="A126" s="316"/>
      <c r="B126" s="316"/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20"/>
      <c r="Z126" s="20"/>
      <c r="AA126" s="21"/>
      <c r="AB126" s="195"/>
      <c r="AC126" s="195"/>
    </row>
    <row r="127" spans="1:32" ht="45.75" x14ac:dyDescent="0.25">
      <c r="A127" s="22"/>
      <c r="B127" s="23"/>
      <c r="C127" s="23"/>
      <c r="D127" s="139"/>
      <c r="E127" s="139"/>
      <c r="F127" s="22"/>
      <c r="G127" s="22"/>
      <c r="H127" s="22"/>
      <c r="I127" s="139"/>
      <c r="J127" s="22"/>
      <c r="K127" s="139"/>
      <c r="L127" s="22"/>
      <c r="M127" s="22"/>
      <c r="N127" s="153"/>
      <c r="O127" s="153"/>
      <c r="P127" s="159"/>
      <c r="Q127" s="22"/>
      <c r="R127" s="22"/>
      <c r="S127" s="22"/>
      <c r="T127" s="139"/>
      <c r="U127" s="23"/>
      <c r="V127" s="22"/>
      <c r="W127" s="22"/>
      <c r="X127" s="22"/>
      <c r="Y127" s="20"/>
      <c r="Z127" s="20"/>
      <c r="AA127" s="21"/>
      <c r="AB127" s="195"/>
      <c r="AC127" s="195"/>
    </row>
    <row r="128" spans="1:32" ht="45.75" x14ac:dyDescent="0.25">
      <c r="A128" s="22"/>
      <c r="B128" s="23"/>
      <c r="C128" s="23"/>
      <c r="D128" s="139"/>
      <c r="E128" s="139"/>
      <c r="F128" s="22"/>
      <c r="G128" s="22"/>
      <c r="H128" s="22"/>
      <c r="I128" s="139"/>
      <c r="J128" s="22"/>
      <c r="K128" s="139"/>
      <c r="L128" s="22"/>
      <c r="M128" s="22"/>
      <c r="N128" s="153"/>
      <c r="O128" s="153"/>
      <c r="P128" s="159"/>
      <c r="Q128" s="22"/>
      <c r="R128" s="22"/>
      <c r="S128" s="22"/>
      <c r="T128" s="139"/>
      <c r="U128" s="23"/>
      <c r="V128" s="22"/>
      <c r="W128" s="22"/>
      <c r="X128" s="22"/>
      <c r="Y128" s="20"/>
      <c r="Z128" s="20"/>
      <c r="AA128" s="21"/>
      <c r="AB128" s="195"/>
      <c r="AC128" s="195"/>
    </row>
    <row r="129" spans="1:29" ht="45.75" x14ac:dyDescent="0.25">
      <c r="A129" s="317"/>
      <c r="B129" s="317"/>
      <c r="C129" s="317"/>
      <c r="D129" s="317"/>
      <c r="E129" s="317"/>
      <c r="F129" s="317"/>
      <c r="G129" s="317"/>
      <c r="H129" s="24"/>
      <c r="I129" s="141"/>
      <c r="J129" s="25"/>
      <c r="K129" s="141"/>
      <c r="L129" s="25"/>
      <c r="M129" s="25"/>
      <c r="N129" s="25"/>
      <c r="O129" s="25"/>
      <c r="P129" s="141"/>
      <c r="Q129" s="25"/>
      <c r="R129" s="25"/>
      <c r="S129" s="25"/>
      <c r="T129" s="141"/>
      <c r="U129" s="26"/>
      <c r="V129" s="20"/>
      <c r="W129" s="20"/>
      <c r="X129" s="27"/>
      <c r="AB129" s="195"/>
      <c r="AC129" s="195"/>
    </row>
    <row r="130" spans="1:29" ht="61.5" x14ac:dyDescent="0.25">
      <c r="A130" s="317"/>
      <c r="B130" s="317"/>
      <c r="C130" s="317"/>
      <c r="D130" s="317"/>
      <c r="E130" s="317"/>
      <c r="F130" s="317"/>
      <c r="G130" s="317"/>
      <c r="H130" s="25"/>
      <c r="I130" s="141"/>
      <c r="J130" s="25"/>
      <c r="K130" s="141"/>
      <c r="L130" s="25"/>
      <c r="M130" s="25"/>
      <c r="N130" s="25"/>
      <c r="O130" s="25"/>
      <c r="P130" s="141"/>
      <c r="Q130" s="25"/>
      <c r="R130" s="25"/>
      <c r="S130" s="25"/>
      <c r="T130" s="141"/>
      <c r="U130" s="26"/>
      <c r="V130" s="20"/>
      <c r="W130" s="20"/>
      <c r="X130" s="27"/>
      <c r="Y130" s="27"/>
      <c r="Z130" s="20"/>
      <c r="AA130" s="28"/>
      <c r="AB130" s="195"/>
      <c r="AC130" s="195"/>
    </row>
    <row r="137" spans="1:29" x14ac:dyDescent="0.25">
      <c r="A137" s="317" t="s">
        <v>364</v>
      </c>
      <c r="B137" s="317"/>
      <c r="C137" s="317"/>
      <c r="D137" s="317"/>
      <c r="E137" s="317"/>
      <c r="F137" s="317"/>
      <c r="G137" s="317"/>
    </row>
    <row r="138" spans="1:29" ht="85.5" customHeight="1" x14ac:dyDescent="0.85">
      <c r="A138" s="317"/>
      <c r="B138" s="317"/>
      <c r="C138" s="317"/>
      <c r="D138" s="317"/>
      <c r="E138" s="317"/>
      <c r="F138" s="317"/>
      <c r="G138" s="317"/>
      <c r="Y138" s="318" t="s">
        <v>221</v>
      </c>
      <c r="Z138" s="318"/>
      <c r="AA138" s="318"/>
    </row>
    <row r="145" ht="9" customHeight="1" x14ac:dyDescent="0.25"/>
    <row r="146" ht="3" hidden="1" customHeight="1" x14ac:dyDescent="0.25"/>
    <row r="147" hidden="1" x14ac:dyDescent="0.25"/>
    <row r="148" hidden="1" x14ac:dyDescent="0.25"/>
    <row r="164" spans="1:2" x14ac:dyDescent="0.65">
      <c r="A164" s="282" t="s">
        <v>245</v>
      </c>
      <c r="B164" s="282"/>
    </row>
    <row r="165" spans="1:2" x14ac:dyDescent="0.65">
      <c r="A165" s="282" t="s">
        <v>246</v>
      </c>
      <c r="B165" s="282"/>
    </row>
  </sheetData>
  <mergeCells count="637">
    <mergeCell ref="D43:D44"/>
    <mergeCell ref="C43:C44"/>
    <mergeCell ref="B43:B44"/>
    <mergeCell ref="I8:L8"/>
    <mergeCell ref="N7:S8"/>
    <mergeCell ref="T7:T9"/>
    <mergeCell ref="A137:G138"/>
    <mergeCell ref="AB28:AB29"/>
    <mergeCell ref="AD37:AD38"/>
    <mergeCell ref="A13:A14"/>
    <mergeCell ref="B13:B14"/>
    <mergeCell ref="C13:C14"/>
    <mergeCell ref="D13:D14"/>
    <mergeCell ref="A16:A17"/>
    <mergeCell ref="J16:J17"/>
    <mergeCell ref="I16:I17"/>
    <mergeCell ref="H16:H17"/>
    <mergeCell ref="G16:G17"/>
    <mergeCell ref="F16:F17"/>
    <mergeCell ref="O16:O17"/>
    <mergeCell ref="N16:N17"/>
    <mergeCell ref="M16:M17"/>
    <mergeCell ref="L16:L17"/>
    <mergeCell ref="K16:K17"/>
    <mergeCell ref="AF34:AF35"/>
    <mergeCell ref="AE34:AE35"/>
    <mergeCell ref="AD34:AD35"/>
    <mergeCell ref="A126:X126"/>
    <mergeCell ref="A129:G130"/>
    <mergeCell ref="Y138:AA138"/>
    <mergeCell ref="A43:A44"/>
    <mergeCell ref="J43:J44"/>
    <mergeCell ref="I43:I44"/>
    <mergeCell ref="H43:H44"/>
    <mergeCell ref="G43:G44"/>
    <mergeCell ref="F43:F44"/>
    <mergeCell ref="O43:O44"/>
    <mergeCell ref="N43:N44"/>
    <mergeCell ref="M43:M44"/>
    <mergeCell ref="L43:L44"/>
    <mergeCell ref="K43:K44"/>
    <mergeCell ref="E43:E44"/>
    <mergeCell ref="Z51:Z52"/>
    <mergeCell ref="Y51:Y52"/>
    <mergeCell ref="X51:X52"/>
    <mergeCell ref="T43:T44"/>
    <mergeCell ref="S43:S44"/>
    <mergeCell ref="R43:R44"/>
    <mergeCell ref="A1:AA1"/>
    <mergeCell ref="A2:AA2"/>
    <mergeCell ref="A3:AA3"/>
    <mergeCell ref="A4:AA4"/>
    <mergeCell ref="A5:AA5"/>
    <mergeCell ref="U13:U14"/>
    <mergeCell ref="J13:J14"/>
    <mergeCell ref="I13:I14"/>
    <mergeCell ref="H13:H14"/>
    <mergeCell ref="G13:G14"/>
    <mergeCell ref="F13:F14"/>
    <mergeCell ref="U7:U9"/>
    <mergeCell ref="V7:Y8"/>
    <mergeCell ref="Z7:Z9"/>
    <mergeCell ref="AA7:AA9"/>
    <mergeCell ref="A7:A9"/>
    <mergeCell ref="B7:B9"/>
    <mergeCell ref="C7:C9"/>
    <mergeCell ref="D7:H8"/>
    <mergeCell ref="I7:M7"/>
    <mergeCell ref="C16:C17"/>
    <mergeCell ref="B16:B17"/>
    <mergeCell ref="T18:T19"/>
    <mergeCell ref="S18:S19"/>
    <mergeCell ref="R18:R19"/>
    <mergeCell ref="O13:O14"/>
    <mergeCell ref="N13:N14"/>
    <mergeCell ref="M13:M14"/>
    <mergeCell ref="L13:L14"/>
    <mergeCell ref="K13:K14"/>
    <mergeCell ref="D16:D17"/>
    <mergeCell ref="E16:E17"/>
    <mergeCell ref="E13:E14"/>
    <mergeCell ref="T13:T14"/>
    <mergeCell ref="S13:S14"/>
    <mergeCell ref="R13:R14"/>
    <mergeCell ref="Q13:Q14"/>
    <mergeCell ref="P13:P14"/>
    <mergeCell ref="T16:T17"/>
    <mergeCell ref="S16:S17"/>
    <mergeCell ref="R16:R17"/>
    <mergeCell ref="Q16:Q17"/>
    <mergeCell ref="P16:P17"/>
    <mergeCell ref="U21:U22"/>
    <mergeCell ref="AA21:AA22"/>
    <mergeCell ref="Y21:Y22"/>
    <mergeCell ref="X21:X22"/>
    <mergeCell ref="W21:W22"/>
    <mergeCell ref="V21:V22"/>
    <mergeCell ref="AA16:AA17"/>
    <mergeCell ref="Z16:Z17"/>
    <mergeCell ref="Y16:Y17"/>
    <mergeCell ref="X16:X17"/>
    <mergeCell ref="W16:W17"/>
    <mergeCell ref="U16:U17"/>
    <mergeCell ref="A18:A19"/>
    <mergeCell ref="AA18:AA19"/>
    <mergeCell ref="Z18:Z19"/>
    <mergeCell ref="Y18:Y19"/>
    <mergeCell ref="X18:X19"/>
    <mergeCell ref="W18:W19"/>
    <mergeCell ref="V18:V19"/>
    <mergeCell ref="U18:U19"/>
    <mergeCell ref="G18:G19"/>
    <mergeCell ref="F18:F19"/>
    <mergeCell ref="E18:E19"/>
    <mergeCell ref="D18:D19"/>
    <mergeCell ref="C18:C19"/>
    <mergeCell ref="L18:L19"/>
    <mergeCell ref="K18:K19"/>
    <mergeCell ref="J18:J19"/>
    <mergeCell ref="I18:I19"/>
    <mergeCell ref="H18:H19"/>
    <mergeCell ref="Q18:Q19"/>
    <mergeCell ref="P18:P19"/>
    <mergeCell ref="O18:O19"/>
    <mergeCell ref="N18:N19"/>
    <mergeCell ref="M18:M19"/>
    <mergeCell ref="B18:B19"/>
    <mergeCell ref="F21:F22"/>
    <mergeCell ref="G21:G22"/>
    <mergeCell ref="H21:H22"/>
    <mergeCell ref="I21:I22"/>
    <mergeCell ref="J21:J22"/>
    <mergeCell ref="A21:A22"/>
    <mergeCell ref="B21:B22"/>
    <mergeCell ref="C21:C22"/>
    <mergeCell ref="D21:D22"/>
    <mergeCell ref="E21:E22"/>
    <mergeCell ref="P21:P22"/>
    <mergeCell ref="Q21:Q22"/>
    <mergeCell ref="R21:R22"/>
    <mergeCell ref="S21:S22"/>
    <mergeCell ref="T21:T22"/>
    <mergeCell ref="K21:K22"/>
    <mergeCell ref="L21:L22"/>
    <mergeCell ref="M21:M22"/>
    <mergeCell ref="N21:N22"/>
    <mergeCell ref="O21:O22"/>
    <mergeCell ref="Q43:Q44"/>
    <mergeCell ref="P43:P44"/>
    <mergeCell ref="V48:V49"/>
    <mergeCell ref="R48:R49"/>
    <mergeCell ref="S48:S49"/>
    <mergeCell ref="T48:T49"/>
    <mergeCell ref="O48:O49"/>
    <mergeCell ref="P48:P49"/>
    <mergeCell ref="Q48:Q49"/>
    <mergeCell ref="A51:A52"/>
    <mergeCell ref="B51:B52"/>
    <mergeCell ref="C51:C52"/>
    <mergeCell ref="D51:D52"/>
    <mergeCell ref="AA43:AA44"/>
    <mergeCell ref="Z43:Z44"/>
    <mergeCell ref="Y43:Y44"/>
    <mergeCell ref="X43:X44"/>
    <mergeCell ref="W43:W44"/>
    <mergeCell ref="V43:V44"/>
    <mergeCell ref="U43:U44"/>
    <mergeCell ref="W51:W52"/>
    <mergeCell ref="V51:V52"/>
    <mergeCell ref="U51:U52"/>
    <mergeCell ref="U48:U49"/>
    <mergeCell ref="W48:W49"/>
    <mergeCell ref="X48:X49"/>
    <mergeCell ref="Y48:Y49"/>
    <mergeCell ref="Z48:Z49"/>
    <mergeCell ref="AA48:AA49"/>
    <mergeCell ref="AA51:AA52"/>
    <mergeCell ref="A48:A49"/>
    <mergeCell ref="B48:B49"/>
    <mergeCell ref="C48:C49"/>
    <mergeCell ref="D48:D49"/>
    <mergeCell ref="E48:E49"/>
    <mergeCell ref="K48:K49"/>
    <mergeCell ref="L48:L49"/>
    <mergeCell ref="M48:M49"/>
    <mergeCell ref="N48:N49"/>
    <mergeCell ref="F48:F49"/>
    <mergeCell ref="G48:G49"/>
    <mergeCell ref="H48:H49"/>
    <mergeCell ref="I48:I49"/>
    <mergeCell ref="J48:J49"/>
    <mergeCell ref="E51:E52"/>
    <mergeCell ref="F51:F52"/>
    <mergeCell ref="G51:G52"/>
    <mergeCell ref="H51:H52"/>
    <mergeCell ref="I51:I52"/>
    <mergeCell ref="L55:L56"/>
    <mergeCell ref="K55:K56"/>
    <mergeCell ref="T55:T56"/>
    <mergeCell ref="S55:S56"/>
    <mergeCell ref="R55:R56"/>
    <mergeCell ref="Q55:Q56"/>
    <mergeCell ref="P55:P56"/>
    <mergeCell ref="R51:R52"/>
    <mergeCell ref="S51:S52"/>
    <mergeCell ref="T51:T52"/>
    <mergeCell ref="E55:E56"/>
    <mergeCell ref="J51:J52"/>
    <mergeCell ref="K51:K52"/>
    <mergeCell ref="L51:L52"/>
    <mergeCell ref="M51:M52"/>
    <mergeCell ref="N51:N52"/>
    <mergeCell ref="O51:O52"/>
    <mergeCell ref="P51:P52"/>
    <mergeCell ref="Q51:Q52"/>
    <mergeCell ref="AA55:AA56"/>
    <mergeCell ref="Z55:Z56"/>
    <mergeCell ref="Y55:Y56"/>
    <mergeCell ref="X55:X56"/>
    <mergeCell ref="W55:W56"/>
    <mergeCell ref="D55:D56"/>
    <mergeCell ref="C55:C56"/>
    <mergeCell ref="B55:B56"/>
    <mergeCell ref="A55:A56"/>
    <mergeCell ref="J55:J56"/>
    <mergeCell ref="I55:I56"/>
    <mergeCell ref="H55:H56"/>
    <mergeCell ref="G55:G56"/>
    <mergeCell ref="F55:F56"/>
    <mergeCell ref="G80:G81"/>
    <mergeCell ref="F80:F81"/>
    <mergeCell ref="O80:O81"/>
    <mergeCell ref="N80:N81"/>
    <mergeCell ref="M80:M81"/>
    <mergeCell ref="L80:L81"/>
    <mergeCell ref="K80:K81"/>
    <mergeCell ref="V55:V56"/>
    <mergeCell ref="U55:U56"/>
    <mergeCell ref="O55:O56"/>
    <mergeCell ref="N55:N56"/>
    <mergeCell ref="M55:M56"/>
    <mergeCell ref="A87:A89"/>
    <mergeCell ref="U87:U89"/>
    <mergeCell ref="E87:E89"/>
    <mergeCell ref="D87:D89"/>
    <mergeCell ref="AA80:AA81"/>
    <mergeCell ref="Z80:Z81"/>
    <mergeCell ref="Y80:Y81"/>
    <mergeCell ref="X80:X81"/>
    <mergeCell ref="W80:W81"/>
    <mergeCell ref="E80:E81"/>
    <mergeCell ref="D80:D81"/>
    <mergeCell ref="C80:C81"/>
    <mergeCell ref="B80:B81"/>
    <mergeCell ref="T80:T81"/>
    <mergeCell ref="S80:S81"/>
    <mergeCell ref="R80:R81"/>
    <mergeCell ref="Q80:Q81"/>
    <mergeCell ref="P80:P81"/>
    <mergeCell ref="V80:V81"/>
    <mergeCell ref="U80:U81"/>
    <mergeCell ref="A80:A81"/>
    <mergeCell ref="J80:J81"/>
    <mergeCell ref="I80:I81"/>
    <mergeCell ref="H80:H81"/>
    <mergeCell ref="W87:W89"/>
    <mergeCell ref="V87:V89"/>
    <mergeCell ref="H87:H89"/>
    <mergeCell ref="G87:G89"/>
    <mergeCell ref="F87:F89"/>
    <mergeCell ref="M87:M89"/>
    <mergeCell ref="L87:L89"/>
    <mergeCell ref="K87:K89"/>
    <mergeCell ref="J87:J89"/>
    <mergeCell ref="I87:I89"/>
    <mergeCell ref="T87:T89"/>
    <mergeCell ref="S87:S89"/>
    <mergeCell ref="R87:R89"/>
    <mergeCell ref="Q87:Q89"/>
    <mergeCell ref="P87:P89"/>
    <mergeCell ref="O87:O89"/>
    <mergeCell ref="N87:N89"/>
    <mergeCell ref="U91:U92"/>
    <mergeCell ref="AA91:AA92"/>
    <mergeCell ref="Z91:Z92"/>
    <mergeCell ref="Y91:Y92"/>
    <mergeCell ref="X91:X92"/>
    <mergeCell ref="W91:W92"/>
    <mergeCell ref="V91:V92"/>
    <mergeCell ref="C87:C89"/>
    <mergeCell ref="B87:B89"/>
    <mergeCell ref="T91:T92"/>
    <mergeCell ref="O91:O92"/>
    <mergeCell ref="P91:P92"/>
    <mergeCell ref="Q91:Q92"/>
    <mergeCell ref="R91:R92"/>
    <mergeCell ref="S91:S92"/>
    <mergeCell ref="J91:J92"/>
    <mergeCell ref="K91:K92"/>
    <mergeCell ref="L91:L92"/>
    <mergeCell ref="M91:M92"/>
    <mergeCell ref="N91:N92"/>
    <mergeCell ref="AA87:AA89"/>
    <mergeCell ref="Z87:Z89"/>
    <mergeCell ref="Y87:Y89"/>
    <mergeCell ref="X87:X89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A101:A102"/>
    <mergeCell ref="J101:J102"/>
    <mergeCell ref="I101:I102"/>
    <mergeCell ref="H101:H102"/>
    <mergeCell ref="G101:G102"/>
    <mergeCell ref="F101:F102"/>
    <mergeCell ref="O101:O102"/>
    <mergeCell ref="N101:N102"/>
    <mergeCell ref="M101:M102"/>
    <mergeCell ref="L101:L102"/>
    <mergeCell ref="K101:K102"/>
    <mergeCell ref="AA101:AA102"/>
    <mergeCell ref="Z101:Z102"/>
    <mergeCell ref="Y101:Y102"/>
    <mergeCell ref="X101:X102"/>
    <mergeCell ref="W101:W102"/>
    <mergeCell ref="E101:E102"/>
    <mergeCell ref="D101:D102"/>
    <mergeCell ref="C101:C102"/>
    <mergeCell ref="B101:B102"/>
    <mergeCell ref="T101:T102"/>
    <mergeCell ref="S101:S102"/>
    <mergeCell ref="R101:R102"/>
    <mergeCell ref="Q101:Q102"/>
    <mergeCell ref="P101:P102"/>
    <mergeCell ref="V101:V102"/>
    <mergeCell ref="U101:U102"/>
    <mergeCell ref="T123:T124"/>
    <mergeCell ref="S123:S124"/>
    <mergeCell ref="R123:R124"/>
    <mergeCell ref="T108:T109"/>
    <mergeCell ref="U108:U109"/>
    <mergeCell ref="V108:V109"/>
    <mergeCell ref="T120:T121"/>
    <mergeCell ref="S120:S121"/>
    <mergeCell ref="R120:R121"/>
    <mergeCell ref="B123:B124"/>
    <mergeCell ref="A123:A124"/>
    <mergeCell ref="AA123:AA124"/>
    <mergeCell ref="Z123:Z124"/>
    <mergeCell ref="Y123:Y124"/>
    <mergeCell ref="X123:X124"/>
    <mergeCell ref="W123:W124"/>
    <mergeCell ref="V123:V124"/>
    <mergeCell ref="U123:U124"/>
    <mergeCell ref="G123:G124"/>
    <mergeCell ref="F123:F124"/>
    <mergeCell ref="E123:E124"/>
    <mergeCell ref="D123:D124"/>
    <mergeCell ref="C123:C124"/>
    <mergeCell ref="L123:L124"/>
    <mergeCell ref="K123:K124"/>
    <mergeCell ref="J123:J124"/>
    <mergeCell ref="I123:I124"/>
    <mergeCell ref="H123:H124"/>
    <mergeCell ref="Q123:Q124"/>
    <mergeCell ref="P123:P124"/>
    <mergeCell ref="O123:O124"/>
    <mergeCell ref="N123:N124"/>
    <mergeCell ref="M123:M124"/>
    <mergeCell ref="A118:A119"/>
    <mergeCell ref="C118:C119"/>
    <mergeCell ref="D118:D119"/>
    <mergeCell ref="T118:T119"/>
    <mergeCell ref="S118:S119"/>
    <mergeCell ref="R118:R119"/>
    <mergeCell ref="Q118:Q119"/>
    <mergeCell ref="P118:P119"/>
    <mergeCell ref="O118:O119"/>
    <mergeCell ref="N118:N119"/>
    <mergeCell ref="M118:M119"/>
    <mergeCell ref="L118:L119"/>
    <mergeCell ref="K118:K119"/>
    <mergeCell ref="J118:J119"/>
    <mergeCell ref="I118:I119"/>
    <mergeCell ref="E118:E119"/>
    <mergeCell ref="AA118:AA119"/>
    <mergeCell ref="Z118:Z119"/>
    <mergeCell ref="Y118:Y119"/>
    <mergeCell ref="X118:X119"/>
    <mergeCell ref="W118:W119"/>
    <mergeCell ref="V118:V119"/>
    <mergeCell ref="U118:U119"/>
    <mergeCell ref="B118:B119"/>
    <mergeCell ref="AA108:AA109"/>
    <mergeCell ref="O108:O109"/>
    <mergeCell ref="P108:P109"/>
    <mergeCell ref="Q108:Q109"/>
    <mergeCell ref="R108:R109"/>
    <mergeCell ref="S108:S109"/>
    <mergeCell ref="H118:H119"/>
    <mergeCell ref="G118:G119"/>
    <mergeCell ref="F118:F119"/>
    <mergeCell ref="A108:A109"/>
    <mergeCell ref="B108:B109"/>
    <mergeCell ref="C108:C109"/>
    <mergeCell ref="D108:D109"/>
    <mergeCell ref="E108:E109"/>
    <mergeCell ref="W108:W109"/>
    <mergeCell ref="X108:X109"/>
    <mergeCell ref="Y108:Y109"/>
    <mergeCell ref="Z108:Z109"/>
    <mergeCell ref="S94:S95"/>
    <mergeCell ref="T94:T95"/>
    <mergeCell ref="K108:K109"/>
    <mergeCell ref="L108:L109"/>
    <mergeCell ref="M108:M109"/>
    <mergeCell ref="N108:N109"/>
    <mergeCell ref="O94:O95"/>
    <mergeCell ref="F108:F109"/>
    <mergeCell ref="G108:G109"/>
    <mergeCell ref="H108:H109"/>
    <mergeCell ref="I108:I109"/>
    <mergeCell ref="J108:J109"/>
    <mergeCell ref="Z94:Z95"/>
    <mergeCell ref="AA94:AA95"/>
    <mergeCell ref="A94:A95"/>
    <mergeCell ref="B94:B95"/>
    <mergeCell ref="C94:C95"/>
    <mergeCell ref="D94:D95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N94:N95"/>
    <mergeCell ref="U94:U95"/>
    <mergeCell ref="V94:V95"/>
    <mergeCell ref="W94:W95"/>
    <mergeCell ref="X94:X95"/>
    <mergeCell ref="Y94:Y95"/>
    <mergeCell ref="P94:P95"/>
    <mergeCell ref="Q94:Q95"/>
    <mergeCell ref="R94:R95"/>
    <mergeCell ref="B120:B121"/>
    <mergeCell ref="A120:A121"/>
    <mergeCell ref="AA120:AA121"/>
    <mergeCell ref="Z120:Z121"/>
    <mergeCell ref="Y120:Y121"/>
    <mergeCell ref="X120:X121"/>
    <mergeCell ref="W120:W121"/>
    <mergeCell ref="V120:V121"/>
    <mergeCell ref="U120:U121"/>
    <mergeCell ref="G120:G121"/>
    <mergeCell ref="F120:F121"/>
    <mergeCell ref="E120:E121"/>
    <mergeCell ref="D120:D121"/>
    <mergeCell ref="C120:C121"/>
    <mergeCell ref="L120:L121"/>
    <mergeCell ref="K120:K121"/>
    <mergeCell ref="J120:J121"/>
    <mergeCell ref="I120:I121"/>
    <mergeCell ref="H120:H121"/>
    <mergeCell ref="Q120:Q121"/>
    <mergeCell ref="P120:P121"/>
    <mergeCell ref="O120:O121"/>
    <mergeCell ref="N120:N121"/>
    <mergeCell ref="M120:M121"/>
    <mergeCell ref="O25:O26"/>
    <mergeCell ref="N25:N26"/>
    <mergeCell ref="M25:M26"/>
    <mergeCell ref="L25:L26"/>
    <mergeCell ref="K25:K26"/>
    <mergeCell ref="T25:T26"/>
    <mergeCell ref="S25:S26"/>
    <mergeCell ref="R25:R26"/>
    <mergeCell ref="Q25:Q26"/>
    <mergeCell ref="P25:P26"/>
    <mergeCell ref="E25:E26"/>
    <mergeCell ref="D25:D26"/>
    <mergeCell ref="C25:C26"/>
    <mergeCell ref="B25:B26"/>
    <mergeCell ref="A25:A26"/>
    <mergeCell ref="J25:J26"/>
    <mergeCell ref="I25:I26"/>
    <mergeCell ref="H25:H26"/>
    <mergeCell ref="G25:G26"/>
    <mergeCell ref="F25:F26"/>
    <mergeCell ref="U25:U26"/>
    <mergeCell ref="T28:T29"/>
    <mergeCell ref="S28:S29"/>
    <mergeCell ref="R28:R29"/>
    <mergeCell ref="AA25:AA26"/>
    <mergeCell ref="Z25:Z26"/>
    <mergeCell ref="Y25:Y26"/>
    <mergeCell ref="X25:X26"/>
    <mergeCell ref="W25:W26"/>
    <mergeCell ref="B28:B29"/>
    <mergeCell ref="A28:A29"/>
    <mergeCell ref="AA28:AA29"/>
    <mergeCell ref="Z28:Z29"/>
    <mergeCell ref="Y28:Y29"/>
    <mergeCell ref="X28:X29"/>
    <mergeCell ref="W28:W29"/>
    <mergeCell ref="V28:V29"/>
    <mergeCell ref="U28:U29"/>
    <mergeCell ref="G28:G29"/>
    <mergeCell ref="F28:F29"/>
    <mergeCell ref="E28:E29"/>
    <mergeCell ref="D28:D29"/>
    <mergeCell ref="C28:C29"/>
    <mergeCell ref="L28:L29"/>
    <mergeCell ref="K28:K29"/>
    <mergeCell ref="J28:J29"/>
    <mergeCell ref="I28:I29"/>
    <mergeCell ref="H28:H29"/>
    <mergeCell ref="Q28:Q29"/>
    <mergeCell ref="P28:P29"/>
    <mergeCell ref="O28:O29"/>
    <mergeCell ref="N28:N29"/>
    <mergeCell ref="M28:M29"/>
    <mergeCell ref="A34:A35"/>
    <mergeCell ref="J34:J35"/>
    <mergeCell ref="I34:I35"/>
    <mergeCell ref="H34:H35"/>
    <mergeCell ref="G34:G35"/>
    <mergeCell ref="F34:F35"/>
    <mergeCell ref="O34:O35"/>
    <mergeCell ref="N34:N35"/>
    <mergeCell ref="M34:M35"/>
    <mergeCell ref="L34:L35"/>
    <mergeCell ref="K34:K35"/>
    <mergeCell ref="AA34:AA35"/>
    <mergeCell ref="Z34:Z35"/>
    <mergeCell ref="Y34:Y35"/>
    <mergeCell ref="X34:X35"/>
    <mergeCell ref="W34:W35"/>
    <mergeCell ref="E34:E35"/>
    <mergeCell ref="D34:D35"/>
    <mergeCell ref="C34:C35"/>
    <mergeCell ref="B34:B35"/>
    <mergeCell ref="T34:T35"/>
    <mergeCell ref="S34:S35"/>
    <mergeCell ref="R34:R35"/>
    <mergeCell ref="Q34:Q35"/>
    <mergeCell ref="P34:P35"/>
    <mergeCell ref="Q37:Q38"/>
    <mergeCell ref="P37:P38"/>
    <mergeCell ref="O37:O38"/>
    <mergeCell ref="N37:N38"/>
    <mergeCell ref="M37:M38"/>
    <mergeCell ref="V34:V35"/>
    <mergeCell ref="U34:U35"/>
    <mergeCell ref="T37:T38"/>
    <mergeCell ref="S37:S38"/>
    <mergeCell ref="R37:R38"/>
    <mergeCell ref="O39:O40"/>
    <mergeCell ref="N39:N40"/>
    <mergeCell ref="M39:M40"/>
    <mergeCell ref="L39:L40"/>
    <mergeCell ref="K39:K40"/>
    <mergeCell ref="B37:B38"/>
    <mergeCell ref="A37:A38"/>
    <mergeCell ref="AA37:AA38"/>
    <mergeCell ref="Z37:Z38"/>
    <mergeCell ref="Y37:Y38"/>
    <mergeCell ref="X37:X38"/>
    <mergeCell ref="W37:W38"/>
    <mergeCell ref="V37:V38"/>
    <mergeCell ref="U37:U38"/>
    <mergeCell ref="G37:G38"/>
    <mergeCell ref="F37:F38"/>
    <mergeCell ref="E37:E38"/>
    <mergeCell ref="D37:D38"/>
    <mergeCell ref="C37:C38"/>
    <mergeCell ref="L37:L38"/>
    <mergeCell ref="K37:K38"/>
    <mergeCell ref="J37:J38"/>
    <mergeCell ref="I37:I38"/>
    <mergeCell ref="H37:H38"/>
    <mergeCell ref="A164:B164"/>
    <mergeCell ref="A165:B165"/>
    <mergeCell ref="V39:V40"/>
    <mergeCell ref="U39:U40"/>
    <mergeCell ref="AA39:AA40"/>
    <mergeCell ref="Z39:Z40"/>
    <mergeCell ref="Y39:Y40"/>
    <mergeCell ref="X39:X40"/>
    <mergeCell ref="W39:W40"/>
    <mergeCell ref="E39:E40"/>
    <mergeCell ref="D39:D40"/>
    <mergeCell ref="T39:T40"/>
    <mergeCell ref="S39:S40"/>
    <mergeCell ref="R39:R40"/>
    <mergeCell ref="Q39:Q40"/>
    <mergeCell ref="P39:P40"/>
    <mergeCell ref="C39:C40"/>
    <mergeCell ref="B39:B40"/>
    <mergeCell ref="A39:A40"/>
    <mergeCell ref="J39:J40"/>
    <mergeCell ref="I39:I40"/>
    <mergeCell ref="H39:H40"/>
    <mergeCell ref="G39:G40"/>
    <mergeCell ref="F39:F40"/>
    <mergeCell ref="AD21:AD22"/>
    <mergeCell ref="AD25:AD26"/>
    <mergeCell ref="AE25:AE26"/>
    <mergeCell ref="AF25:AF26"/>
    <mergeCell ref="AD28:AD29"/>
    <mergeCell ref="AF28:AF29"/>
    <mergeCell ref="AE28:AE29"/>
    <mergeCell ref="V11:V12"/>
    <mergeCell ref="W11:W12"/>
    <mergeCell ref="X11:X12"/>
    <mergeCell ref="Y11:Y12"/>
    <mergeCell ref="Z11:Z12"/>
    <mergeCell ref="AA11:AA12"/>
    <mergeCell ref="AD13:AD14"/>
    <mergeCell ref="AD16:AD17"/>
    <mergeCell ref="AD18:AD19"/>
    <mergeCell ref="V25:V26"/>
    <mergeCell ref="V16:V17"/>
    <mergeCell ref="AA13:AA14"/>
    <mergeCell ref="Z13:Z14"/>
    <mergeCell ref="Y13:Y14"/>
    <mergeCell ref="X13:X14"/>
    <mergeCell ref="W13:W14"/>
    <mergeCell ref="V13:V14"/>
  </mergeCells>
  <pageMargins left="0.70866141732283472" right="0.70866141732283472" top="0.74803149606299213" bottom="0.74803149606299213" header="0.31496062992125984" footer="0.31496062992125984"/>
  <pageSetup paperSize="9" scale="14" fitToHeight="0" orientation="landscape" r:id="rId1"/>
  <rowBreaks count="2" manualBreakCount="2">
    <brk id="20" max="26" man="1"/>
    <brk id="31" max="26" man="1"/>
  </rowBreaks>
  <colBreaks count="1" manualBreakCount="1"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view="pageBreakPreview" topLeftCell="A41" zoomScale="80" zoomScaleNormal="100" zoomScaleSheetLayoutView="80" workbookViewId="0">
      <selection activeCell="C35" sqref="C35"/>
    </sheetView>
  </sheetViews>
  <sheetFormatPr defaultRowHeight="15" x14ac:dyDescent="0.25"/>
  <cols>
    <col min="1" max="1" width="9.140625" style="126"/>
    <col min="2" max="2" width="31.140625" style="126" customWidth="1"/>
    <col min="3" max="5" width="9.140625" style="126"/>
    <col min="6" max="6" width="14.85546875" style="126" customWidth="1"/>
    <col min="7" max="7" width="25.140625" style="126" customWidth="1"/>
    <col min="8" max="16384" width="9.140625" style="126"/>
  </cols>
  <sheetData>
    <row r="1" spans="1:8" ht="18.75" x14ac:dyDescent="0.3">
      <c r="A1" s="323" t="s">
        <v>119</v>
      </c>
      <c r="B1" s="323"/>
      <c r="C1" s="323"/>
      <c r="D1" s="323"/>
      <c r="E1" s="323"/>
      <c r="F1" s="323"/>
      <c r="G1" s="323"/>
    </row>
    <row r="2" spans="1:8" ht="18.75" x14ac:dyDescent="0.3">
      <c r="A2" s="323" t="s">
        <v>120</v>
      </c>
      <c r="B2" s="323"/>
      <c r="C2" s="323"/>
      <c r="D2" s="323"/>
      <c r="E2" s="323"/>
      <c r="F2" s="323"/>
      <c r="G2" s="323"/>
    </row>
    <row r="3" spans="1:8" ht="18.75" x14ac:dyDescent="0.3">
      <c r="A3" s="323" t="s">
        <v>2</v>
      </c>
      <c r="B3" s="323"/>
      <c r="C3" s="323"/>
      <c r="D3" s="323"/>
      <c r="E3" s="323"/>
      <c r="F3" s="323"/>
      <c r="G3" s="323"/>
    </row>
    <row r="4" spans="1:8" ht="18.75" x14ac:dyDescent="0.3">
      <c r="A4" s="323" t="s">
        <v>430</v>
      </c>
      <c r="B4" s="323"/>
      <c r="C4" s="323"/>
      <c r="D4" s="323"/>
      <c r="E4" s="323"/>
      <c r="F4" s="323"/>
      <c r="G4" s="323"/>
    </row>
    <row r="5" spans="1:8" ht="15.75" x14ac:dyDescent="0.25">
      <c r="A5" s="29"/>
      <c r="B5" s="30"/>
      <c r="C5" s="30"/>
      <c r="D5" s="30"/>
      <c r="E5" s="30"/>
      <c r="F5" s="31"/>
      <c r="G5" s="30"/>
    </row>
    <row r="6" spans="1:8" ht="15" customHeight="1" x14ac:dyDescent="0.25">
      <c r="A6" s="324" t="s">
        <v>121</v>
      </c>
      <c r="B6" s="325" t="s">
        <v>122</v>
      </c>
      <c r="C6" s="325" t="s">
        <v>123</v>
      </c>
      <c r="D6" s="326" t="s">
        <v>238</v>
      </c>
      <c r="E6" s="326"/>
      <c r="F6" s="326"/>
      <c r="G6" s="325" t="s">
        <v>124</v>
      </c>
    </row>
    <row r="7" spans="1:8" ht="51" x14ac:dyDescent="0.25">
      <c r="A7" s="324"/>
      <c r="B7" s="325"/>
      <c r="C7" s="325"/>
      <c r="D7" s="32" t="s">
        <v>239</v>
      </c>
      <c r="E7" s="325" t="s">
        <v>125</v>
      </c>
      <c r="F7" s="325"/>
      <c r="G7" s="325"/>
    </row>
    <row r="8" spans="1:8" x14ac:dyDescent="0.25">
      <c r="A8" s="324"/>
      <c r="B8" s="325"/>
      <c r="C8" s="325"/>
      <c r="D8" s="32" t="s">
        <v>126</v>
      </c>
      <c r="E8" s="32" t="s">
        <v>127</v>
      </c>
      <c r="F8" s="33" t="s">
        <v>126</v>
      </c>
      <c r="G8" s="325"/>
    </row>
    <row r="9" spans="1:8" x14ac:dyDescent="0.25">
      <c r="A9" s="39">
        <v>1</v>
      </c>
      <c r="B9" s="43">
        <v>2</v>
      </c>
      <c r="C9" s="43">
        <v>3</v>
      </c>
      <c r="D9" s="43">
        <v>4</v>
      </c>
      <c r="E9" s="43">
        <v>5</v>
      </c>
      <c r="F9" s="43">
        <v>6</v>
      </c>
      <c r="G9" s="43">
        <v>7</v>
      </c>
    </row>
    <row r="10" spans="1:8" ht="42.75" customHeight="1" x14ac:dyDescent="0.25">
      <c r="A10" s="34"/>
      <c r="B10" s="35" t="s">
        <v>128</v>
      </c>
      <c r="C10" s="36"/>
      <c r="D10" s="36"/>
      <c r="E10" s="36"/>
      <c r="F10" s="37"/>
      <c r="G10" s="36"/>
    </row>
    <row r="11" spans="1:8" ht="45.75" customHeight="1" x14ac:dyDescent="0.25">
      <c r="A11" s="38" t="s">
        <v>129</v>
      </c>
      <c r="B11" s="36" t="s">
        <v>130</v>
      </c>
      <c r="C11" s="39" t="s">
        <v>30</v>
      </c>
      <c r="D11" s="40">
        <v>12865</v>
      </c>
      <c r="E11" s="41">
        <v>12000</v>
      </c>
      <c r="F11" s="41">
        <v>5996</v>
      </c>
      <c r="G11" s="36" t="s">
        <v>254</v>
      </c>
    </row>
    <row r="12" spans="1:8" ht="70.5" customHeight="1" x14ac:dyDescent="0.25">
      <c r="A12" s="38" t="s">
        <v>131</v>
      </c>
      <c r="B12" s="36" t="s">
        <v>132</v>
      </c>
      <c r="C12" s="39" t="s">
        <v>133</v>
      </c>
      <c r="D12" s="149">
        <v>105</v>
      </c>
      <c r="E12" s="149">
        <v>100</v>
      </c>
      <c r="F12" s="143">
        <v>100.4</v>
      </c>
      <c r="G12" s="43"/>
    </row>
    <row r="13" spans="1:8" ht="80.25" customHeight="1" x14ac:dyDescent="0.25">
      <c r="A13" s="38" t="s">
        <v>38</v>
      </c>
      <c r="B13" s="36" t="s">
        <v>134</v>
      </c>
      <c r="C13" s="39" t="s">
        <v>133</v>
      </c>
      <c r="D13" s="149">
        <v>97</v>
      </c>
      <c r="E13" s="149">
        <v>97</v>
      </c>
      <c r="F13" s="143" t="s">
        <v>234</v>
      </c>
      <c r="G13" s="36" t="s">
        <v>432</v>
      </c>
      <c r="H13" s="126" t="s">
        <v>251</v>
      </c>
    </row>
    <row r="14" spans="1:8" ht="96" customHeight="1" x14ac:dyDescent="0.25">
      <c r="A14" s="38" t="s">
        <v>135</v>
      </c>
      <c r="B14" s="36" t="s">
        <v>136</v>
      </c>
      <c r="C14" s="39" t="s">
        <v>133</v>
      </c>
      <c r="D14" s="149">
        <v>100</v>
      </c>
      <c r="E14" s="149">
        <v>100</v>
      </c>
      <c r="F14" s="143" t="s">
        <v>234</v>
      </c>
      <c r="G14" s="36" t="s">
        <v>432</v>
      </c>
    </row>
    <row r="15" spans="1:8" ht="63.75" customHeight="1" x14ac:dyDescent="0.25">
      <c r="A15" s="38" t="s">
        <v>48</v>
      </c>
      <c r="B15" s="36" t="s">
        <v>137</v>
      </c>
      <c r="C15" s="39" t="s">
        <v>133</v>
      </c>
      <c r="D15" s="149">
        <v>87</v>
      </c>
      <c r="E15" s="149">
        <v>90</v>
      </c>
      <c r="F15" s="143" t="s">
        <v>234</v>
      </c>
      <c r="G15" s="36" t="s">
        <v>432</v>
      </c>
    </row>
    <row r="16" spans="1:8" ht="108.75" customHeight="1" x14ac:dyDescent="0.25">
      <c r="A16" s="38" t="s">
        <v>138</v>
      </c>
      <c r="B16" s="36" t="s">
        <v>139</v>
      </c>
      <c r="C16" s="39" t="s">
        <v>133</v>
      </c>
      <c r="D16" s="39">
        <v>16.7</v>
      </c>
      <c r="E16" s="39">
        <v>13.6</v>
      </c>
      <c r="F16" s="143" t="s">
        <v>234</v>
      </c>
      <c r="G16" s="36" t="s">
        <v>432</v>
      </c>
    </row>
    <row r="17" spans="1:7" ht="148.5" customHeight="1" x14ac:dyDescent="0.25">
      <c r="A17" s="38" t="s">
        <v>140</v>
      </c>
      <c r="B17" s="36" t="s">
        <v>141</v>
      </c>
      <c r="C17" s="39" t="s">
        <v>133</v>
      </c>
      <c r="D17" s="149">
        <v>100</v>
      </c>
      <c r="E17" s="149">
        <v>100</v>
      </c>
      <c r="F17" s="143" t="s">
        <v>234</v>
      </c>
      <c r="G17" s="36" t="s">
        <v>432</v>
      </c>
    </row>
    <row r="18" spans="1:7" ht="51" x14ac:dyDescent="0.25">
      <c r="A18" s="38" t="s">
        <v>142</v>
      </c>
      <c r="B18" s="36" t="s">
        <v>143</v>
      </c>
      <c r="C18" s="39" t="s">
        <v>144</v>
      </c>
      <c r="D18" s="39">
        <v>64.2</v>
      </c>
      <c r="E18" s="39">
        <v>62.3</v>
      </c>
      <c r="F18" s="143" t="s">
        <v>234</v>
      </c>
      <c r="G18" s="36" t="s">
        <v>432</v>
      </c>
    </row>
    <row r="19" spans="1:7" ht="39.75" customHeight="1" x14ac:dyDescent="0.25">
      <c r="A19" s="38" t="s">
        <v>145</v>
      </c>
      <c r="B19" s="36" t="s">
        <v>146</v>
      </c>
      <c r="C19" s="39" t="s">
        <v>147</v>
      </c>
      <c r="D19" s="39">
        <v>0.14499999999999999</v>
      </c>
      <c r="E19" s="44">
        <v>0.14199999999999999</v>
      </c>
      <c r="F19" s="143" t="s">
        <v>234</v>
      </c>
      <c r="G19" s="36" t="s">
        <v>432</v>
      </c>
    </row>
    <row r="20" spans="1:7" ht="41.25" customHeight="1" x14ac:dyDescent="0.25">
      <c r="A20" s="45" t="s">
        <v>148</v>
      </c>
      <c r="B20" s="36" t="s">
        <v>149</v>
      </c>
      <c r="C20" s="39" t="s">
        <v>150</v>
      </c>
      <c r="D20" s="39">
        <v>1.54</v>
      </c>
      <c r="E20" s="39">
        <v>1.5</v>
      </c>
      <c r="F20" s="143" t="s">
        <v>234</v>
      </c>
      <c r="G20" s="36" t="s">
        <v>432</v>
      </c>
    </row>
    <row r="21" spans="1:7" ht="55.5" customHeight="1" x14ac:dyDescent="0.25">
      <c r="A21" s="45" t="s">
        <v>151</v>
      </c>
      <c r="B21" s="36" t="s">
        <v>152</v>
      </c>
      <c r="C21" s="39" t="s">
        <v>153</v>
      </c>
      <c r="D21" s="39">
        <v>21.2</v>
      </c>
      <c r="E21" s="39">
        <v>22.3</v>
      </c>
      <c r="F21" s="143" t="s">
        <v>234</v>
      </c>
      <c r="G21" s="36" t="s">
        <v>432</v>
      </c>
    </row>
    <row r="22" spans="1:7" ht="136.5" customHeight="1" x14ac:dyDescent="0.25">
      <c r="A22" s="38" t="s">
        <v>154</v>
      </c>
      <c r="B22" s="36" t="s">
        <v>155</v>
      </c>
      <c r="C22" s="39" t="s">
        <v>153</v>
      </c>
      <c r="D22" s="39">
        <v>2.14</v>
      </c>
      <c r="E22" s="150">
        <v>2.2000000000000002</v>
      </c>
      <c r="F22" s="143" t="s">
        <v>234</v>
      </c>
      <c r="G22" s="36" t="s">
        <v>432</v>
      </c>
    </row>
    <row r="23" spans="1:7" ht="43.5" customHeight="1" x14ac:dyDescent="0.25">
      <c r="A23" s="45" t="s">
        <v>156</v>
      </c>
      <c r="B23" s="36" t="s">
        <v>157</v>
      </c>
      <c r="C23" s="39" t="s">
        <v>153</v>
      </c>
      <c r="D23" s="149">
        <v>100</v>
      </c>
      <c r="E23" s="149">
        <v>100</v>
      </c>
      <c r="F23" s="143">
        <v>100</v>
      </c>
      <c r="G23" s="36"/>
    </row>
    <row r="24" spans="1:7" ht="81" customHeight="1" x14ac:dyDescent="0.25">
      <c r="A24" s="45" t="s">
        <v>158</v>
      </c>
      <c r="B24" s="36" t="s">
        <v>159</v>
      </c>
      <c r="C24" s="39" t="s">
        <v>153</v>
      </c>
      <c r="D24" s="39">
        <v>10.6</v>
      </c>
      <c r="E24" s="39">
        <v>7.8</v>
      </c>
      <c r="F24" s="143" t="s">
        <v>234</v>
      </c>
      <c r="G24" s="36" t="s">
        <v>240</v>
      </c>
    </row>
    <row r="25" spans="1:7" ht="15.75" customHeight="1" x14ac:dyDescent="0.25">
      <c r="A25" s="38" t="s">
        <v>160</v>
      </c>
      <c r="B25" s="320" t="s">
        <v>161</v>
      </c>
      <c r="C25" s="320"/>
      <c r="D25" s="320"/>
      <c r="E25" s="320"/>
      <c r="F25" s="320"/>
      <c r="G25" s="320"/>
    </row>
    <row r="26" spans="1:7" ht="71.25" customHeight="1" x14ac:dyDescent="0.25">
      <c r="A26" s="38" t="s">
        <v>162</v>
      </c>
      <c r="B26" s="46" t="s">
        <v>163</v>
      </c>
      <c r="C26" s="39" t="s">
        <v>133</v>
      </c>
      <c r="D26" s="149">
        <v>100</v>
      </c>
      <c r="E26" s="149">
        <v>100</v>
      </c>
      <c r="F26" s="143">
        <v>99.99</v>
      </c>
      <c r="G26" s="42"/>
    </row>
    <row r="27" spans="1:7" ht="111" customHeight="1" x14ac:dyDescent="0.25">
      <c r="A27" s="38" t="s">
        <v>255</v>
      </c>
      <c r="B27" s="46" t="s">
        <v>288</v>
      </c>
      <c r="C27" s="39" t="s">
        <v>133</v>
      </c>
      <c r="D27" s="143" t="s">
        <v>234</v>
      </c>
      <c r="E27" s="149">
        <v>10</v>
      </c>
      <c r="F27" s="143" t="s">
        <v>234</v>
      </c>
      <c r="G27" s="42" t="s">
        <v>287</v>
      </c>
    </row>
    <row r="28" spans="1:7" ht="107.25" customHeight="1" x14ac:dyDescent="0.25">
      <c r="A28" s="38" t="s">
        <v>256</v>
      </c>
      <c r="B28" s="46" t="s">
        <v>289</v>
      </c>
      <c r="C28" s="39" t="s">
        <v>133</v>
      </c>
      <c r="D28" s="143" t="s">
        <v>234</v>
      </c>
      <c r="E28" s="149">
        <v>25</v>
      </c>
      <c r="F28" s="143" t="s">
        <v>234</v>
      </c>
      <c r="G28" s="42" t="s">
        <v>287</v>
      </c>
    </row>
    <row r="29" spans="1:7" ht="15.75" customHeight="1" x14ac:dyDescent="0.25">
      <c r="A29" s="38" t="s">
        <v>164</v>
      </c>
      <c r="B29" s="320" t="s">
        <v>165</v>
      </c>
      <c r="C29" s="320"/>
      <c r="D29" s="320"/>
      <c r="E29" s="320"/>
      <c r="F29" s="320"/>
      <c r="G29" s="320"/>
    </row>
    <row r="30" spans="1:7" ht="102" x14ac:dyDescent="0.25">
      <c r="A30" s="38" t="s">
        <v>166</v>
      </c>
      <c r="B30" s="36" t="s">
        <v>167</v>
      </c>
      <c r="C30" s="39" t="s">
        <v>133</v>
      </c>
      <c r="D30" s="149">
        <v>100</v>
      </c>
      <c r="E30" s="149">
        <v>100</v>
      </c>
      <c r="F30" s="149">
        <v>100</v>
      </c>
      <c r="G30" s="36"/>
    </row>
    <row r="31" spans="1:7" ht="42" customHeight="1" x14ac:dyDescent="0.25">
      <c r="A31" s="38" t="s">
        <v>168</v>
      </c>
      <c r="B31" s="36" t="s">
        <v>169</v>
      </c>
      <c r="C31" s="39" t="s">
        <v>30</v>
      </c>
      <c r="D31" s="39">
        <v>3112</v>
      </c>
      <c r="E31" s="40">
        <v>4100</v>
      </c>
      <c r="F31" s="40">
        <v>4114</v>
      </c>
      <c r="G31" s="36"/>
    </row>
    <row r="32" spans="1:7" ht="42.75" customHeight="1" x14ac:dyDescent="0.25">
      <c r="A32" s="38" t="s">
        <v>170</v>
      </c>
      <c r="B32" s="36" t="s">
        <v>171</v>
      </c>
      <c r="C32" s="39" t="s">
        <v>172</v>
      </c>
      <c r="D32" s="39">
        <v>8652</v>
      </c>
      <c r="E32" s="40">
        <v>12600</v>
      </c>
      <c r="F32" s="40">
        <v>10923</v>
      </c>
      <c r="G32" s="36" t="s">
        <v>254</v>
      </c>
    </row>
    <row r="33" spans="1:7" ht="41.25" customHeight="1" x14ac:dyDescent="0.25">
      <c r="A33" s="38" t="s">
        <v>173</v>
      </c>
      <c r="B33" s="36" t="s">
        <v>174</v>
      </c>
      <c r="C33" s="39" t="s">
        <v>30</v>
      </c>
      <c r="D33" s="39">
        <v>7778</v>
      </c>
      <c r="E33" s="40">
        <v>7050</v>
      </c>
      <c r="F33" s="40">
        <v>8599</v>
      </c>
      <c r="G33" s="36"/>
    </row>
    <row r="34" spans="1:7" ht="15.75" customHeight="1" x14ac:dyDescent="0.25">
      <c r="A34" s="38" t="s">
        <v>175</v>
      </c>
      <c r="B34" s="320" t="s">
        <v>176</v>
      </c>
      <c r="C34" s="320"/>
      <c r="D34" s="320"/>
      <c r="E34" s="320"/>
      <c r="F34" s="320"/>
      <c r="G34" s="320"/>
    </row>
    <row r="35" spans="1:7" ht="225" customHeight="1" x14ac:dyDescent="0.25">
      <c r="A35" s="38" t="s">
        <v>177</v>
      </c>
      <c r="B35" s="36" t="s">
        <v>178</v>
      </c>
      <c r="C35" s="39" t="s">
        <v>133</v>
      </c>
      <c r="D35" s="149">
        <v>94.8</v>
      </c>
      <c r="E35" s="149">
        <v>94</v>
      </c>
      <c r="F35" s="143">
        <v>94.9</v>
      </c>
      <c r="G35" s="36"/>
    </row>
    <row r="36" spans="1:7" ht="125.25" customHeight="1" x14ac:dyDescent="0.25">
      <c r="A36" s="38" t="s">
        <v>179</v>
      </c>
      <c r="B36" s="36" t="s">
        <v>180</v>
      </c>
      <c r="C36" s="39" t="s">
        <v>241</v>
      </c>
      <c r="D36" s="39">
        <v>1.61</v>
      </c>
      <c r="E36" s="44">
        <v>1.7709999999999999</v>
      </c>
      <c r="F36" s="143" t="s">
        <v>234</v>
      </c>
      <c r="G36" s="36" t="s">
        <v>433</v>
      </c>
    </row>
    <row r="37" spans="1:7" ht="121.5" customHeight="1" x14ac:dyDescent="0.25">
      <c r="A37" s="38" t="s">
        <v>181</v>
      </c>
      <c r="B37" s="36" t="s">
        <v>182</v>
      </c>
      <c r="C37" s="39" t="s">
        <v>30</v>
      </c>
      <c r="D37" s="149">
        <v>100.5</v>
      </c>
      <c r="E37" s="39">
        <v>112.5</v>
      </c>
      <c r="F37" s="143" t="s">
        <v>234</v>
      </c>
      <c r="G37" s="36" t="s">
        <v>433</v>
      </c>
    </row>
    <row r="38" spans="1:7" ht="123.75" customHeight="1" x14ac:dyDescent="0.25">
      <c r="A38" s="38" t="s">
        <v>183</v>
      </c>
      <c r="B38" s="36" t="s">
        <v>184</v>
      </c>
      <c r="C38" s="39" t="s">
        <v>30</v>
      </c>
      <c r="D38" s="151">
        <v>75.599999999999994</v>
      </c>
      <c r="E38" s="39">
        <v>94.8</v>
      </c>
      <c r="F38" s="143" t="s">
        <v>234</v>
      </c>
      <c r="G38" s="36" t="s">
        <v>433</v>
      </c>
    </row>
    <row r="39" spans="1:7" ht="121.5" customHeight="1" x14ac:dyDescent="0.25">
      <c r="A39" s="38" t="s">
        <v>222</v>
      </c>
      <c r="B39" s="36" t="s">
        <v>225</v>
      </c>
      <c r="C39" s="39" t="s">
        <v>172</v>
      </c>
      <c r="D39" s="39">
        <v>0.57999999999999996</v>
      </c>
      <c r="E39" s="44">
        <v>0.624</v>
      </c>
      <c r="F39" s="150" t="s">
        <v>248</v>
      </c>
      <c r="G39" s="36" t="s">
        <v>433</v>
      </c>
    </row>
    <row r="40" spans="1:7" ht="126.75" customHeight="1" x14ac:dyDescent="0.25">
      <c r="A40" s="38" t="s">
        <v>224</v>
      </c>
      <c r="B40" s="36" t="s">
        <v>226</v>
      </c>
      <c r="C40" s="39" t="s">
        <v>172</v>
      </c>
      <c r="D40" s="39">
        <v>0.35</v>
      </c>
      <c r="E40" s="44">
        <v>0.41199999999999998</v>
      </c>
      <c r="F40" s="143" t="s">
        <v>234</v>
      </c>
      <c r="G40" s="36" t="s">
        <v>433</v>
      </c>
    </row>
    <row r="41" spans="1:7" ht="122.25" customHeight="1" x14ac:dyDescent="0.25">
      <c r="A41" s="38" t="s">
        <v>223</v>
      </c>
      <c r="B41" s="36" t="s">
        <v>227</v>
      </c>
      <c r="C41" s="39" t="s">
        <v>172</v>
      </c>
      <c r="D41" s="39">
        <v>40.5</v>
      </c>
      <c r="E41" s="150">
        <v>46.09</v>
      </c>
      <c r="F41" s="143" t="s">
        <v>234</v>
      </c>
      <c r="G41" s="36" t="s">
        <v>433</v>
      </c>
    </row>
    <row r="42" spans="1:7" ht="83.25" customHeight="1" x14ac:dyDescent="0.25">
      <c r="A42" s="38" t="s">
        <v>242</v>
      </c>
      <c r="B42" s="36" t="s">
        <v>243</v>
      </c>
      <c r="C42" s="39" t="s">
        <v>133</v>
      </c>
      <c r="D42" s="39">
        <v>61.3</v>
      </c>
      <c r="E42" s="39">
        <v>59.7</v>
      </c>
      <c r="F42" s="143" t="s">
        <v>234</v>
      </c>
      <c r="G42" s="36" t="s">
        <v>432</v>
      </c>
    </row>
    <row r="43" spans="1:7" x14ac:dyDescent="0.25">
      <c r="A43" s="321"/>
      <c r="B43" s="321"/>
      <c r="C43" s="321"/>
      <c r="D43" s="321"/>
      <c r="E43" s="321"/>
      <c r="F43" s="321"/>
      <c r="G43" s="321"/>
    </row>
    <row r="44" spans="1:7" ht="66.75" customHeight="1" x14ac:dyDescent="0.25">
      <c r="A44" s="322"/>
      <c r="B44" s="322"/>
      <c r="C44" s="322"/>
      <c r="D44" s="322"/>
      <c r="E44" s="322"/>
      <c r="F44" s="322"/>
      <c r="G44" s="322"/>
    </row>
    <row r="45" spans="1:7" x14ac:dyDescent="0.25">
      <c r="A45" s="322"/>
      <c r="B45" s="322"/>
      <c r="C45" s="322"/>
      <c r="D45" s="322"/>
      <c r="E45" s="322"/>
      <c r="F45" s="322"/>
      <c r="G45" s="322"/>
    </row>
    <row r="46" spans="1:7" ht="20.25" customHeight="1" x14ac:dyDescent="0.25">
      <c r="A46" s="331" t="s">
        <v>244</v>
      </c>
      <c r="B46" s="331"/>
      <c r="C46" s="331"/>
      <c r="D46" s="331"/>
      <c r="E46" s="152"/>
    </row>
    <row r="47" spans="1:7" ht="20.25" x14ac:dyDescent="0.3">
      <c r="A47" s="331"/>
      <c r="B47" s="331"/>
      <c r="C47" s="331"/>
      <c r="D47" s="331"/>
      <c r="F47" s="328" t="s">
        <v>221</v>
      </c>
      <c r="G47" s="328"/>
    </row>
    <row r="48" spans="1:7" x14ac:dyDescent="0.25">
      <c r="A48" s="329"/>
      <c r="B48" s="329"/>
      <c r="C48" s="329"/>
    </row>
    <row r="49" spans="1:3" x14ac:dyDescent="0.25">
      <c r="A49" s="329"/>
      <c r="B49" s="329"/>
      <c r="C49" s="329"/>
    </row>
    <row r="51" spans="1:3" x14ac:dyDescent="0.25">
      <c r="A51" s="330"/>
      <c r="B51" s="330"/>
    </row>
    <row r="85" spans="1:2" x14ac:dyDescent="0.25">
      <c r="A85" s="327" t="s">
        <v>245</v>
      </c>
      <c r="B85" s="327"/>
    </row>
    <row r="86" spans="1:2" x14ac:dyDescent="0.25">
      <c r="A86" s="327" t="s">
        <v>246</v>
      </c>
      <c r="B86" s="327"/>
    </row>
  </sheetData>
  <mergeCells count="21">
    <mergeCell ref="A85:B85"/>
    <mergeCell ref="A86:B86"/>
    <mergeCell ref="A45:G45"/>
    <mergeCell ref="F47:G47"/>
    <mergeCell ref="A48:C49"/>
    <mergeCell ref="A51:B51"/>
    <mergeCell ref="A46:D47"/>
    <mergeCell ref="B25:G25"/>
    <mergeCell ref="B29:G29"/>
    <mergeCell ref="B34:G34"/>
    <mergeCell ref="A43:G44"/>
    <mergeCell ref="A1:G1"/>
    <mergeCell ref="A2:G2"/>
    <mergeCell ref="A3:G3"/>
    <mergeCell ref="A4:G4"/>
    <mergeCell ref="A6:A8"/>
    <mergeCell ref="B6:B8"/>
    <mergeCell ref="C6:C8"/>
    <mergeCell ref="D6:F6"/>
    <mergeCell ref="G6:G8"/>
    <mergeCell ref="E7:F7"/>
  </mergeCells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5"/>
  <sheetViews>
    <sheetView view="pageBreakPreview" topLeftCell="A120" zoomScale="50" zoomScaleNormal="100" zoomScaleSheetLayoutView="50" workbookViewId="0">
      <pane xSplit="1" topLeftCell="B1" activePane="topRight" state="frozen"/>
      <selection pane="topRight" activeCell="E122" sqref="E122"/>
    </sheetView>
  </sheetViews>
  <sheetFormatPr defaultRowHeight="15" x14ac:dyDescent="0.25"/>
  <cols>
    <col min="1" max="1" width="13" style="126" customWidth="1"/>
    <col min="2" max="2" width="33.140625" style="126" customWidth="1"/>
    <col min="3" max="3" width="9.140625" style="126"/>
    <col min="4" max="4" width="35" style="126" customWidth="1"/>
    <col min="5" max="5" width="19.5703125" style="126" customWidth="1"/>
    <col min="6" max="6" width="17.28515625" style="126" customWidth="1"/>
    <col min="7" max="7" width="18.140625" style="126" customWidth="1"/>
    <col min="8" max="8" width="21" style="126" customWidth="1"/>
    <col min="9" max="9" width="23.5703125" style="126" customWidth="1"/>
    <col min="10" max="10" width="22.28515625" style="126" customWidth="1"/>
    <col min="11" max="11" width="21.7109375" style="126" customWidth="1"/>
    <col min="12" max="12" width="21.42578125" style="126" customWidth="1"/>
    <col min="13" max="13" width="22.7109375" style="126" customWidth="1"/>
    <col min="14" max="14" width="19.42578125" style="126" customWidth="1"/>
    <col min="15" max="15" width="20.7109375" style="126" customWidth="1"/>
    <col min="16" max="16" width="20.28515625" style="126" customWidth="1"/>
    <col min="17" max="17" width="29" style="126" customWidth="1"/>
    <col min="18" max="19" width="31.5703125" style="126" customWidth="1"/>
    <col min="20" max="20" width="14.7109375" style="126" bestFit="1" customWidth="1"/>
    <col min="21" max="21" width="9.140625" style="126"/>
    <col min="22" max="22" width="8.85546875" style="126" customWidth="1"/>
    <col min="23" max="23" width="22.85546875" style="126" customWidth="1"/>
    <col min="24" max="24" width="18.5703125" style="126" customWidth="1"/>
    <col min="25" max="25" width="20.28515625" style="126" customWidth="1"/>
    <col min="26" max="16384" width="9.140625" style="126"/>
  </cols>
  <sheetData>
    <row r="1" spans="1:27" ht="18.75" x14ac:dyDescent="0.3">
      <c r="A1" s="47"/>
      <c r="B1" s="48"/>
      <c r="C1" s="49"/>
      <c r="D1" s="48"/>
      <c r="E1" s="49"/>
      <c r="F1" s="49"/>
      <c r="G1" s="49"/>
      <c r="H1" s="246"/>
      <c r="I1" s="50"/>
      <c r="J1" s="339" t="s">
        <v>119</v>
      </c>
      <c r="K1" s="339"/>
      <c r="L1" s="50"/>
      <c r="M1" s="50"/>
      <c r="N1" s="50"/>
      <c r="O1" s="247"/>
      <c r="P1" s="50"/>
      <c r="Q1" s="52"/>
      <c r="R1" s="53"/>
      <c r="S1" s="54"/>
      <c r="T1" s="51"/>
      <c r="U1" s="51"/>
      <c r="V1" s="51"/>
      <c r="W1" s="55"/>
      <c r="X1" s="55"/>
      <c r="Y1" s="55"/>
      <c r="Z1" s="56"/>
      <c r="AA1" s="56"/>
    </row>
    <row r="2" spans="1:27" ht="18.75" x14ac:dyDescent="0.3">
      <c r="A2" s="57" t="s">
        <v>185</v>
      </c>
      <c r="B2" s="57"/>
      <c r="C2" s="57"/>
      <c r="D2" s="57"/>
      <c r="E2" s="57"/>
      <c r="F2" s="57"/>
      <c r="G2" s="57"/>
      <c r="H2" s="57"/>
      <c r="I2" s="340" t="s">
        <v>186</v>
      </c>
      <c r="J2" s="340"/>
      <c r="K2" s="340"/>
      <c r="L2" s="340"/>
      <c r="M2" s="248"/>
      <c r="N2" s="57"/>
      <c r="O2" s="249"/>
      <c r="P2" s="57"/>
      <c r="Q2" s="58"/>
      <c r="R2" s="59"/>
      <c r="S2" s="60"/>
      <c r="T2" s="51"/>
      <c r="U2" s="51"/>
      <c r="V2" s="51"/>
      <c r="W2" s="55"/>
      <c r="X2" s="55"/>
      <c r="Y2" s="55"/>
      <c r="Z2" s="56"/>
      <c r="AA2" s="56"/>
    </row>
    <row r="3" spans="1:27" ht="18.75" x14ac:dyDescent="0.3">
      <c r="A3" s="57" t="s">
        <v>187</v>
      </c>
      <c r="B3" s="57"/>
      <c r="C3" s="57"/>
      <c r="D3" s="57"/>
      <c r="E3" s="57"/>
      <c r="F3" s="57"/>
      <c r="G3" s="57"/>
      <c r="H3" s="340" t="s">
        <v>188</v>
      </c>
      <c r="I3" s="340"/>
      <c r="J3" s="340"/>
      <c r="K3" s="340"/>
      <c r="L3" s="340"/>
      <c r="M3" s="341"/>
      <c r="N3" s="57"/>
      <c r="O3" s="248"/>
      <c r="P3" s="57"/>
      <c r="Q3" s="58"/>
      <c r="R3" s="59"/>
      <c r="S3" s="60"/>
      <c r="T3" s="51"/>
      <c r="U3" s="51"/>
      <c r="V3" s="51"/>
      <c r="W3" s="61"/>
      <c r="X3" s="61"/>
      <c r="Y3" s="61"/>
      <c r="Z3" s="51"/>
      <c r="AA3" s="51"/>
    </row>
    <row r="4" spans="1:27" ht="18.75" customHeight="1" x14ac:dyDescent="0.3">
      <c r="A4" s="62" t="s">
        <v>189</v>
      </c>
      <c r="B4" s="62"/>
      <c r="C4" s="62"/>
      <c r="D4" s="62"/>
      <c r="E4" s="62"/>
      <c r="F4" s="62"/>
      <c r="G4" s="62"/>
      <c r="H4" s="62"/>
      <c r="I4" s="62"/>
      <c r="J4" s="342" t="s">
        <v>431</v>
      </c>
      <c r="K4" s="342"/>
      <c r="L4" s="62"/>
      <c r="M4" s="247"/>
      <c r="N4" s="62"/>
      <c r="O4" s="247"/>
      <c r="P4" s="62"/>
      <c r="Q4" s="63"/>
      <c r="R4" s="59"/>
      <c r="S4" s="60"/>
      <c r="T4" s="51"/>
      <c r="U4" s="51"/>
      <c r="V4" s="51"/>
      <c r="W4" s="61"/>
      <c r="X4" s="61"/>
      <c r="Y4" s="61"/>
      <c r="Z4" s="51"/>
      <c r="AA4" s="51"/>
    </row>
    <row r="5" spans="1:27" ht="18.75" x14ac:dyDescent="0.25">
      <c r="A5" s="64"/>
      <c r="B5" s="65"/>
      <c r="C5" s="64"/>
      <c r="D5" s="65"/>
      <c r="E5" s="64"/>
      <c r="F5" s="64"/>
      <c r="G5" s="64"/>
      <c r="H5" s="64"/>
      <c r="I5" s="50"/>
      <c r="J5" s="50"/>
      <c r="K5" s="50"/>
      <c r="L5" s="50"/>
      <c r="M5" s="250"/>
      <c r="N5" s="50"/>
      <c r="O5" s="250"/>
      <c r="P5" s="50"/>
      <c r="Q5" s="66"/>
      <c r="R5" s="59"/>
      <c r="S5" s="60"/>
      <c r="T5" s="51"/>
      <c r="U5" s="51"/>
      <c r="V5" s="51"/>
      <c r="W5" s="61"/>
      <c r="X5" s="61"/>
      <c r="Y5" s="61"/>
      <c r="Z5" s="51"/>
      <c r="AA5" s="51"/>
    </row>
    <row r="6" spans="1:27" ht="18.75" customHeight="1" x14ac:dyDescent="0.25">
      <c r="A6" s="337" t="s">
        <v>190</v>
      </c>
      <c r="B6" s="344" t="s">
        <v>191</v>
      </c>
      <c r="C6" s="172" t="s">
        <v>192</v>
      </c>
      <c r="D6" s="347" t="s">
        <v>193</v>
      </c>
      <c r="E6" s="347" t="s">
        <v>194</v>
      </c>
      <c r="F6" s="347" t="s">
        <v>195</v>
      </c>
      <c r="G6" s="347" t="s">
        <v>196</v>
      </c>
      <c r="H6" s="362" t="s">
        <v>197</v>
      </c>
      <c r="I6" s="363" t="s">
        <v>198</v>
      </c>
      <c r="J6" s="363"/>
      <c r="K6" s="363"/>
      <c r="L6" s="363"/>
      <c r="M6" s="364"/>
      <c r="N6" s="363"/>
      <c r="O6" s="364"/>
      <c r="P6" s="363"/>
      <c r="Q6" s="344" t="s">
        <v>199</v>
      </c>
      <c r="R6" s="67"/>
      <c r="S6" s="68"/>
      <c r="T6" s="69"/>
      <c r="U6" s="69"/>
      <c r="V6" s="69"/>
      <c r="W6" s="54"/>
      <c r="X6" s="54"/>
      <c r="Y6" s="54"/>
      <c r="Z6" s="69"/>
      <c r="AA6" s="69"/>
    </row>
    <row r="7" spans="1:27" ht="18.75" x14ac:dyDescent="0.25">
      <c r="A7" s="343"/>
      <c r="B7" s="345"/>
      <c r="C7" s="173"/>
      <c r="D7" s="348"/>
      <c r="E7" s="348"/>
      <c r="F7" s="348"/>
      <c r="G7" s="348"/>
      <c r="H7" s="362"/>
      <c r="I7" s="360" t="s">
        <v>200</v>
      </c>
      <c r="J7" s="360"/>
      <c r="K7" s="361" t="s">
        <v>201</v>
      </c>
      <c r="L7" s="361"/>
      <c r="M7" s="360" t="s">
        <v>202</v>
      </c>
      <c r="N7" s="360"/>
      <c r="O7" s="360" t="s">
        <v>203</v>
      </c>
      <c r="P7" s="360"/>
      <c r="Q7" s="345"/>
      <c r="R7" s="67"/>
      <c r="S7" s="68"/>
      <c r="T7" s="51"/>
      <c r="U7" s="51"/>
      <c r="V7" s="51"/>
      <c r="W7" s="61"/>
      <c r="X7" s="61"/>
      <c r="Y7" s="61"/>
      <c r="Z7" s="51"/>
      <c r="AA7" s="51"/>
    </row>
    <row r="8" spans="1:27" ht="141.75" customHeight="1" x14ac:dyDescent="0.25">
      <c r="A8" s="338"/>
      <c r="B8" s="346"/>
      <c r="C8" s="174"/>
      <c r="D8" s="349"/>
      <c r="E8" s="349"/>
      <c r="F8" s="349"/>
      <c r="G8" s="349"/>
      <c r="H8" s="362"/>
      <c r="I8" s="70" t="s">
        <v>127</v>
      </c>
      <c r="J8" s="70" t="s">
        <v>126</v>
      </c>
      <c r="K8" s="70" t="s">
        <v>127</v>
      </c>
      <c r="L8" s="70" t="s">
        <v>126</v>
      </c>
      <c r="M8" s="237" t="s">
        <v>127</v>
      </c>
      <c r="N8" s="70" t="s">
        <v>126</v>
      </c>
      <c r="O8" s="237" t="s">
        <v>127</v>
      </c>
      <c r="P8" s="70" t="s">
        <v>126</v>
      </c>
      <c r="Q8" s="346"/>
      <c r="R8" s="67"/>
      <c r="S8" s="68"/>
      <c r="T8" s="51"/>
      <c r="U8" s="51"/>
      <c r="V8" s="51"/>
      <c r="W8" s="61"/>
      <c r="X8" s="61"/>
      <c r="Y8" s="61"/>
      <c r="Z8" s="51"/>
      <c r="AA8" s="51"/>
    </row>
    <row r="9" spans="1:27" ht="20.25" x14ac:dyDescent="0.25">
      <c r="A9" s="71">
        <v>1</v>
      </c>
      <c r="B9" s="72">
        <v>2</v>
      </c>
      <c r="C9" s="72">
        <v>3</v>
      </c>
      <c r="D9" s="72">
        <v>4</v>
      </c>
      <c r="E9" s="72">
        <v>5</v>
      </c>
      <c r="F9" s="72">
        <v>6</v>
      </c>
      <c r="G9" s="72">
        <v>7</v>
      </c>
      <c r="H9" s="72">
        <v>8</v>
      </c>
      <c r="I9" s="73">
        <v>9</v>
      </c>
      <c r="J9" s="73">
        <v>10</v>
      </c>
      <c r="K9" s="73">
        <v>11</v>
      </c>
      <c r="L9" s="73">
        <v>12</v>
      </c>
      <c r="M9" s="229">
        <v>13</v>
      </c>
      <c r="N9" s="73">
        <v>14</v>
      </c>
      <c r="O9" s="229">
        <v>15</v>
      </c>
      <c r="P9" s="73">
        <v>16</v>
      </c>
      <c r="Q9" s="72">
        <v>17</v>
      </c>
      <c r="R9" s="67"/>
      <c r="S9" s="68"/>
      <c r="T9" s="69"/>
      <c r="U9" s="69"/>
      <c r="V9" s="69"/>
      <c r="W9" s="54"/>
      <c r="X9" s="54"/>
      <c r="Y9" s="54"/>
      <c r="Z9" s="69"/>
      <c r="AA9" s="69"/>
    </row>
    <row r="10" spans="1:27" ht="68.25" customHeight="1" x14ac:dyDescent="0.25">
      <c r="A10" s="146" t="s">
        <v>73</v>
      </c>
      <c r="B10" s="187" t="s">
        <v>204</v>
      </c>
      <c r="C10" s="147"/>
      <c r="D10" s="187" t="s">
        <v>27</v>
      </c>
      <c r="E10" s="259" t="s">
        <v>400</v>
      </c>
      <c r="F10" s="180" t="s">
        <v>253</v>
      </c>
      <c r="G10" s="259" t="s">
        <v>400</v>
      </c>
      <c r="H10" s="180"/>
      <c r="I10" s="144">
        <f t="shared" ref="I10:P10" si="0">I11</f>
        <v>281136.2</v>
      </c>
      <c r="J10" s="144">
        <f>J11</f>
        <v>566133.9</v>
      </c>
      <c r="K10" s="144">
        <f t="shared" si="0"/>
        <v>397008.9</v>
      </c>
      <c r="L10" s="144">
        <f t="shared" si="0"/>
        <v>124357.09999999998</v>
      </c>
      <c r="M10" s="79">
        <f t="shared" si="0"/>
        <v>117235.3</v>
      </c>
      <c r="N10" s="144">
        <f t="shared" si="0"/>
        <v>0</v>
      </c>
      <c r="O10" s="79">
        <f t="shared" si="0"/>
        <v>194379.3</v>
      </c>
      <c r="P10" s="144">
        <f t="shared" si="0"/>
        <v>0</v>
      </c>
      <c r="Q10" s="147" t="s">
        <v>24</v>
      </c>
      <c r="R10" s="67"/>
      <c r="S10" s="123">
        <f>I10+K10+M10+O10</f>
        <v>989759.70000000019</v>
      </c>
      <c r="T10" s="124">
        <f>J10+L10+N10+P10</f>
        <v>690491</v>
      </c>
      <c r="U10" s="51"/>
      <c r="V10" s="51"/>
      <c r="W10" s="61"/>
      <c r="X10" s="61"/>
      <c r="Y10" s="61"/>
      <c r="Z10" s="51"/>
      <c r="AA10" s="51"/>
    </row>
    <row r="11" spans="1:27" ht="245.25" customHeight="1" x14ac:dyDescent="0.25">
      <c r="A11" s="146" t="s">
        <v>26</v>
      </c>
      <c r="B11" s="187" t="s">
        <v>384</v>
      </c>
      <c r="C11" s="76"/>
      <c r="D11" s="187" t="s">
        <v>401</v>
      </c>
      <c r="E11" s="180" t="s">
        <v>400</v>
      </c>
      <c r="F11" s="180" t="s">
        <v>253</v>
      </c>
      <c r="G11" s="259" t="s">
        <v>400</v>
      </c>
      <c r="H11" s="180"/>
      <c r="I11" s="221">
        <v>281136.2</v>
      </c>
      <c r="J11" s="221">
        <v>566133.9</v>
      </c>
      <c r="K11" s="229">
        <v>397008.9</v>
      </c>
      <c r="L11" s="237">
        <f>690491-J11</f>
        <v>124357.09999999998</v>
      </c>
      <c r="M11" s="229">
        <v>117235.3</v>
      </c>
      <c r="N11" s="229"/>
      <c r="O11" s="229">
        <v>194379.3</v>
      </c>
      <c r="P11" s="229"/>
      <c r="Q11" s="187"/>
      <c r="R11" s="67"/>
      <c r="S11" s="75">
        <v>1396029.4</v>
      </c>
      <c r="T11" s="51"/>
      <c r="U11" s="51"/>
      <c r="V11" s="51"/>
      <c r="W11" s="77">
        <f t="shared" ref="W11:W25" si="1">I11+K11+M11+O11</f>
        <v>989759.70000000019</v>
      </c>
      <c r="X11" s="77">
        <f t="shared" ref="X11:X25" si="2">J11+L11+N11+P11</f>
        <v>690491</v>
      </c>
      <c r="Y11" s="77">
        <f t="shared" ref="Y11:Y25" si="3">W11-X11</f>
        <v>299268.70000000019</v>
      </c>
      <c r="Z11" s="51"/>
      <c r="AA11" s="51"/>
    </row>
    <row r="12" spans="1:27" ht="20.25" customHeight="1" x14ac:dyDescent="0.25">
      <c r="A12" s="78" t="s">
        <v>28</v>
      </c>
      <c r="B12" s="354" t="s">
        <v>205</v>
      </c>
      <c r="C12" s="355"/>
      <c r="D12" s="355"/>
      <c r="E12" s="355"/>
      <c r="F12" s="355"/>
      <c r="G12" s="355"/>
      <c r="H12" s="356"/>
      <c r="I12" s="79">
        <f t="shared" ref="I12:P12" si="4">I13+I15+I16+I17+I19+I20+I21+I24+I27+I29+I30+I31+I32+I34+I36+I37+I40+I41+I42+I44+I48+I49+I50+I54+I56+I26+I61+I63+I14+I18+I22+I46+I65+I67</f>
        <v>4367759.3000000017</v>
      </c>
      <c r="J12" s="79">
        <f t="shared" si="4"/>
        <v>4539039.1000000006</v>
      </c>
      <c r="K12" s="79">
        <f>K13+K15+K16+K17+K19+K20+K21+K24+K27+K29+K30+K31+K32+K34+K36+K37+K40+K41+K42+K44+K48+K49+K50+K54+K56+K26+K61+K63+K14+K18+K22+K46+K65+K67+0.1</f>
        <v>3590797.9999999995</v>
      </c>
      <c r="L12" s="79">
        <f t="shared" si="4"/>
        <v>3669382.5999999996</v>
      </c>
      <c r="M12" s="144">
        <f>M13+M15+M16+M17+M19+M20+M21+M24+M27+M29+M30+M31+M32+M34+M36+M37+M40+M41+M42+M44+M48+M49+M50+M54+M56+M26+M61+M63+M14+M18+M22+M46+M65+M67+M38+M39-0.1</f>
        <v>3807990.5999999987</v>
      </c>
      <c r="N12" s="266">
        <f t="shared" ref="N12" si="5">N13+N15+N16+N17+N19+N20+N21+N24+N27+N29+N30+N31+N32+N34+N36+N37+N40+N41+N42+N44+N48+N49+N50+N54+N56+N26+N61+N63+N14+N18+N22+N46+N65+N67+N38+N39</f>
        <v>0</v>
      </c>
      <c r="O12" s="144">
        <f>O13+O15+O16+O17+O19+O20+O21+O24+O27+O29+O30+O31+O32+O34+O36+O37+O40+O41+O42+O44+O48+O49+O50+O54+O56+O26+O61+O63+O14+O18+O22+O46+O65+O67+O38+O39-0.2</f>
        <v>5138499.2999999989</v>
      </c>
      <c r="P12" s="79">
        <f t="shared" si="4"/>
        <v>0</v>
      </c>
      <c r="Q12" s="80"/>
      <c r="R12" s="67"/>
      <c r="S12" s="123">
        <f>I12+K12+M12+O12</f>
        <v>16905047.199999996</v>
      </c>
      <c r="T12" s="122">
        <f>J12+L12+N12+P12</f>
        <v>8208421.7000000002</v>
      </c>
      <c r="U12" s="81"/>
      <c r="V12" s="81"/>
      <c r="W12" s="77">
        <f t="shared" si="1"/>
        <v>16905047.199999996</v>
      </c>
      <c r="X12" s="77">
        <f t="shared" si="2"/>
        <v>8208421.7000000002</v>
      </c>
      <c r="Y12" s="77">
        <f t="shared" si="3"/>
        <v>8696625.4999999963</v>
      </c>
      <c r="Z12" s="81"/>
      <c r="AA12" s="81"/>
    </row>
    <row r="13" spans="1:27" ht="181.5" customHeight="1" x14ac:dyDescent="0.25">
      <c r="A13" s="146" t="s">
        <v>26</v>
      </c>
      <c r="B13" s="187" t="s">
        <v>294</v>
      </c>
      <c r="C13" s="147"/>
      <c r="D13" s="258" t="s">
        <v>402</v>
      </c>
      <c r="E13" s="259" t="s">
        <v>400</v>
      </c>
      <c r="F13" s="180" t="s">
        <v>253</v>
      </c>
      <c r="G13" s="259" t="s">
        <v>400</v>
      </c>
      <c r="H13" s="180"/>
      <c r="I13" s="221">
        <v>103354.1</v>
      </c>
      <c r="J13" s="221">
        <v>103354.1</v>
      </c>
      <c r="K13" s="229">
        <v>108146.1</v>
      </c>
      <c r="L13" s="237">
        <f>211721.5-J13</f>
        <v>108367.4</v>
      </c>
      <c r="M13" s="229">
        <v>99128.9</v>
      </c>
      <c r="N13" s="229"/>
      <c r="O13" s="229">
        <v>85886.5</v>
      </c>
      <c r="P13" s="229"/>
      <c r="Q13" s="187"/>
      <c r="R13" s="67"/>
      <c r="S13" s="75">
        <v>348659.1</v>
      </c>
      <c r="T13" s="51"/>
      <c r="U13" s="51"/>
      <c r="V13" s="51"/>
      <c r="W13" s="77">
        <f t="shared" si="1"/>
        <v>396515.6</v>
      </c>
      <c r="X13" s="77">
        <f t="shared" si="2"/>
        <v>211721.5</v>
      </c>
      <c r="Y13" s="77">
        <f t="shared" si="3"/>
        <v>184794.09999999998</v>
      </c>
      <c r="Z13" s="51"/>
      <c r="AA13" s="51"/>
    </row>
    <row r="14" spans="1:27" ht="219" customHeight="1" x14ac:dyDescent="0.25">
      <c r="A14" s="146" t="s">
        <v>32</v>
      </c>
      <c r="B14" s="187" t="s">
        <v>383</v>
      </c>
      <c r="C14" s="147"/>
      <c r="D14" s="258" t="s">
        <v>402</v>
      </c>
      <c r="E14" s="259" t="s">
        <v>400</v>
      </c>
      <c r="F14" s="180" t="s">
        <v>253</v>
      </c>
      <c r="G14" s="259" t="s">
        <v>400</v>
      </c>
      <c r="H14" s="180"/>
      <c r="I14" s="221">
        <v>925.9</v>
      </c>
      <c r="J14" s="221">
        <v>925.9</v>
      </c>
      <c r="K14" s="229">
        <v>898.6</v>
      </c>
      <c r="L14" s="237">
        <f>1816.3-J14</f>
        <v>890.4</v>
      </c>
      <c r="M14" s="229">
        <v>1227.5999999999999</v>
      </c>
      <c r="N14" s="229"/>
      <c r="O14" s="229">
        <v>1858.1</v>
      </c>
      <c r="P14" s="229"/>
      <c r="Q14" s="187"/>
      <c r="R14" s="67"/>
      <c r="S14" s="75">
        <v>3896.1</v>
      </c>
      <c r="T14" s="51"/>
      <c r="U14" s="51"/>
      <c r="V14" s="51"/>
      <c r="W14" s="77">
        <f t="shared" si="1"/>
        <v>4910.2</v>
      </c>
      <c r="X14" s="77">
        <f t="shared" si="2"/>
        <v>1816.3</v>
      </c>
      <c r="Y14" s="77">
        <f t="shared" si="3"/>
        <v>3093.8999999999996</v>
      </c>
      <c r="Z14" s="51"/>
      <c r="AA14" s="51"/>
    </row>
    <row r="15" spans="1:27" ht="177.75" customHeight="1" x14ac:dyDescent="0.25">
      <c r="A15" s="146" t="s">
        <v>33</v>
      </c>
      <c r="B15" s="262" t="s">
        <v>296</v>
      </c>
      <c r="C15" s="147"/>
      <c r="D15" s="262" t="s">
        <v>402</v>
      </c>
      <c r="E15" s="148" t="s">
        <v>400</v>
      </c>
      <c r="F15" s="148" t="s">
        <v>253</v>
      </c>
      <c r="G15" s="148" t="s">
        <v>400</v>
      </c>
      <c r="H15" s="148"/>
      <c r="I15" s="260">
        <v>5829.1</v>
      </c>
      <c r="J15" s="260">
        <v>5829.1</v>
      </c>
      <c r="K15" s="260">
        <v>6085.8</v>
      </c>
      <c r="L15" s="260">
        <f>11917.3-J15</f>
        <v>6088.1999999999989</v>
      </c>
      <c r="M15" s="260">
        <v>6095.8</v>
      </c>
      <c r="N15" s="260"/>
      <c r="O15" s="260">
        <v>6372.5</v>
      </c>
      <c r="P15" s="260"/>
      <c r="Q15" s="262"/>
      <c r="R15" s="67"/>
      <c r="S15" s="75">
        <v>20960.3</v>
      </c>
      <c r="T15" s="51"/>
      <c r="U15" s="51"/>
      <c r="V15" s="51"/>
      <c r="W15" s="77">
        <f t="shared" si="1"/>
        <v>24383.200000000001</v>
      </c>
      <c r="X15" s="77">
        <f t="shared" si="2"/>
        <v>11917.3</v>
      </c>
      <c r="Y15" s="77">
        <f t="shared" si="3"/>
        <v>12465.900000000001</v>
      </c>
      <c r="Z15" s="51"/>
      <c r="AA15" s="51"/>
    </row>
    <row r="16" spans="1:27" ht="273" customHeight="1" x14ac:dyDescent="0.25">
      <c r="A16" s="146" t="s">
        <v>34</v>
      </c>
      <c r="B16" s="262" t="s">
        <v>297</v>
      </c>
      <c r="C16" s="147"/>
      <c r="D16" s="262" t="s">
        <v>402</v>
      </c>
      <c r="E16" s="148" t="s">
        <v>400</v>
      </c>
      <c r="F16" s="148" t="s">
        <v>253</v>
      </c>
      <c r="G16" s="148" t="s">
        <v>400</v>
      </c>
      <c r="H16" s="261"/>
      <c r="I16" s="260">
        <v>13</v>
      </c>
      <c r="J16" s="260">
        <v>13</v>
      </c>
      <c r="K16" s="260">
        <v>18586.5</v>
      </c>
      <c r="L16" s="260">
        <f>18760.3-J16</f>
        <v>18747.3</v>
      </c>
      <c r="M16" s="260">
        <v>250</v>
      </c>
      <c r="N16" s="260"/>
      <c r="O16" s="260">
        <v>187.7</v>
      </c>
      <c r="P16" s="260"/>
      <c r="Q16" s="262"/>
      <c r="R16" s="67"/>
      <c r="S16" s="75">
        <v>18556</v>
      </c>
      <c r="T16" s="51"/>
      <c r="U16" s="51"/>
      <c r="V16" s="51"/>
      <c r="W16" s="77">
        <f t="shared" si="1"/>
        <v>19037.2</v>
      </c>
      <c r="X16" s="77">
        <f t="shared" si="2"/>
        <v>18760.3</v>
      </c>
      <c r="Y16" s="77">
        <f t="shared" si="3"/>
        <v>276.90000000000146</v>
      </c>
      <c r="Z16" s="51"/>
      <c r="AA16" s="51"/>
    </row>
    <row r="17" spans="1:27" ht="179.25" customHeight="1" x14ac:dyDescent="0.25">
      <c r="A17" s="146" t="s">
        <v>35</v>
      </c>
      <c r="B17" s="187" t="s">
        <v>382</v>
      </c>
      <c r="C17" s="147"/>
      <c r="D17" s="258" t="s">
        <v>402</v>
      </c>
      <c r="E17" s="259" t="s">
        <v>400</v>
      </c>
      <c r="F17" s="180" t="s">
        <v>253</v>
      </c>
      <c r="G17" s="259" t="s">
        <v>400</v>
      </c>
      <c r="H17" s="180"/>
      <c r="I17" s="221">
        <v>44502.2</v>
      </c>
      <c r="J17" s="221">
        <v>44501.5</v>
      </c>
      <c r="K17" s="229">
        <v>30539.3</v>
      </c>
      <c r="L17" s="237">
        <f>76398.8-J17</f>
        <v>31897.300000000003</v>
      </c>
      <c r="M17" s="229">
        <v>36389.699999999997</v>
      </c>
      <c r="N17" s="229"/>
      <c r="O17" s="229">
        <v>43232.6</v>
      </c>
      <c r="P17" s="229"/>
      <c r="Q17" s="187"/>
      <c r="R17" s="67"/>
      <c r="S17" s="75">
        <v>145326.6</v>
      </c>
      <c r="T17" s="51"/>
      <c r="U17" s="51"/>
      <c r="V17" s="51"/>
      <c r="W17" s="77">
        <f t="shared" si="1"/>
        <v>154663.79999999999</v>
      </c>
      <c r="X17" s="77">
        <f t="shared" si="2"/>
        <v>76398.8</v>
      </c>
      <c r="Y17" s="77">
        <f t="shared" si="3"/>
        <v>78264.999999999985</v>
      </c>
      <c r="Z17" s="51"/>
      <c r="AA17" s="51"/>
    </row>
    <row r="18" spans="1:27" ht="178.5" customHeight="1" x14ac:dyDescent="0.25">
      <c r="A18" s="146" t="s">
        <v>36</v>
      </c>
      <c r="B18" s="187" t="s">
        <v>299</v>
      </c>
      <c r="C18" s="147"/>
      <c r="D18" s="258" t="s">
        <v>402</v>
      </c>
      <c r="E18" s="259" t="s">
        <v>400</v>
      </c>
      <c r="F18" s="180" t="s">
        <v>253</v>
      </c>
      <c r="G18" s="259" t="s">
        <v>400</v>
      </c>
      <c r="H18" s="180"/>
      <c r="I18" s="221">
        <v>31.4</v>
      </c>
      <c r="J18" s="221">
        <v>31.4</v>
      </c>
      <c r="K18" s="229">
        <v>32.799999999999997</v>
      </c>
      <c r="L18" s="237">
        <f>68.5-J18</f>
        <v>37.1</v>
      </c>
      <c r="M18" s="229">
        <v>52.9</v>
      </c>
      <c r="N18" s="229"/>
      <c r="O18" s="229">
        <v>94.2</v>
      </c>
      <c r="P18" s="229"/>
      <c r="Q18" s="187"/>
      <c r="R18" s="67"/>
      <c r="S18" s="75">
        <v>145.6</v>
      </c>
      <c r="T18" s="51"/>
      <c r="U18" s="51"/>
      <c r="V18" s="51"/>
      <c r="W18" s="77">
        <f t="shared" si="1"/>
        <v>211.3</v>
      </c>
      <c r="X18" s="77">
        <f t="shared" si="2"/>
        <v>68.5</v>
      </c>
      <c r="Y18" s="77">
        <f t="shared" si="3"/>
        <v>142.80000000000001</v>
      </c>
      <c r="Z18" s="51"/>
      <c r="AA18" s="51"/>
    </row>
    <row r="19" spans="1:27" ht="376.5" customHeight="1" x14ac:dyDescent="0.25">
      <c r="A19" s="146" t="s">
        <v>37</v>
      </c>
      <c r="B19" s="187" t="s">
        <v>381</v>
      </c>
      <c r="C19" s="147"/>
      <c r="D19" s="187" t="s">
        <v>403</v>
      </c>
      <c r="E19" s="259" t="s">
        <v>400</v>
      </c>
      <c r="F19" s="178">
        <v>44561</v>
      </c>
      <c r="G19" s="259" t="s">
        <v>400</v>
      </c>
      <c r="H19" s="180"/>
      <c r="I19" s="221">
        <v>597711.69999999995</v>
      </c>
      <c r="J19" s="221">
        <v>640389</v>
      </c>
      <c r="K19" s="229">
        <v>671219.4</v>
      </c>
      <c r="L19" s="237">
        <f>1319585.5-J19</f>
        <v>679196.5</v>
      </c>
      <c r="M19" s="229">
        <v>666808.1</v>
      </c>
      <c r="N19" s="229"/>
      <c r="O19" s="229">
        <v>728992.9</v>
      </c>
      <c r="P19" s="229"/>
      <c r="Q19" s="187"/>
      <c r="R19" s="67"/>
      <c r="S19" s="75">
        <v>2576470.6</v>
      </c>
      <c r="T19" s="51"/>
      <c r="U19" s="51"/>
      <c r="V19" s="51"/>
      <c r="W19" s="77">
        <f t="shared" si="1"/>
        <v>2664732.1</v>
      </c>
      <c r="X19" s="77">
        <f t="shared" si="2"/>
        <v>1319585.5</v>
      </c>
      <c r="Y19" s="77">
        <f t="shared" si="3"/>
        <v>1345146.6</v>
      </c>
      <c r="Z19" s="51"/>
      <c r="AA19" s="51"/>
    </row>
    <row r="20" spans="1:27" ht="283.5" customHeight="1" x14ac:dyDescent="0.25">
      <c r="A20" s="146" t="s">
        <v>39</v>
      </c>
      <c r="B20" s="262" t="s">
        <v>301</v>
      </c>
      <c r="C20" s="147"/>
      <c r="D20" s="262" t="s">
        <v>404</v>
      </c>
      <c r="E20" s="148" t="s">
        <v>400</v>
      </c>
      <c r="F20" s="148" t="s">
        <v>253</v>
      </c>
      <c r="G20" s="148" t="s">
        <v>400</v>
      </c>
      <c r="H20" s="148"/>
      <c r="I20" s="260">
        <v>675397.5</v>
      </c>
      <c r="J20" s="260">
        <v>679673.2</v>
      </c>
      <c r="K20" s="260">
        <v>331841.40000000002</v>
      </c>
      <c r="L20" s="260">
        <f>1011897.9-J20</f>
        <v>332224.70000000007</v>
      </c>
      <c r="M20" s="260">
        <v>88450</v>
      </c>
      <c r="N20" s="260"/>
      <c r="O20" s="260">
        <v>109425.8</v>
      </c>
      <c r="P20" s="260"/>
      <c r="Q20" s="187"/>
      <c r="R20" s="67"/>
      <c r="S20" s="75">
        <v>1086348.5</v>
      </c>
      <c r="T20" s="51"/>
      <c r="U20" s="51"/>
      <c r="V20" s="51"/>
      <c r="W20" s="77">
        <f t="shared" si="1"/>
        <v>1205114.7</v>
      </c>
      <c r="X20" s="77">
        <f t="shared" si="2"/>
        <v>1011897.9</v>
      </c>
      <c r="Y20" s="77">
        <f t="shared" si="3"/>
        <v>193216.79999999993</v>
      </c>
      <c r="Z20" s="51"/>
      <c r="AA20" s="51"/>
    </row>
    <row r="21" spans="1:27" ht="375" x14ac:dyDescent="0.25">
      <c r="A21" s="146" t="s">
        <v>41</v>
      </c>
      <c r="B21" s="262" t="s">
        <v>380</v>
      </c>
      <c r="C21" s="147"/>
      <c r="D21" s="262" t="s">
        <v>404</v>
      </c>
      <c r="E21" s="148" t="s">
        <v>400</v>
      </c>
      <c r="F21" s="148" t="s">
        <v>253</v>
      </c>
      <c r="G21" s="148" t="s">
        <v>400</v>
      </c>
      <c r="H21" s="148"/>
      <c r="I21" s="260">
        <v>996450</v>
      </c>
      <c r="J21" s="260">
        <v>1051194</v>
      </c>
      <c r="K21" s="260">
        <v>858509</v>
      </c>
      <c r="L21" s="260">
        <f>1896742.2-J21</f>
        <v>845548.2</v>
      </c>
      <c r="M21" s="260">
        <v>948087.6</v>
      </c>
      <c r="N21" s="260"/>
      <c r="O21" s="260">
        <v>989303.6</v>
      </c>
      <c r="P21" s="260"/>
      <c r="Q21" s="262"/>
      <c r="R21" s="67"/>
      <c r="S21" s="75">
        <v>4136471.7</v>
      </c>
      <c r="T21" s="69"/>
      <c r="U21" s="69"/>
      <c r="V21" s="69"/>
      <c r="W21" s="77">
        <f t="shared" si="1"/>
        <v>3792350.2</v>
      </c>
      <c r="X21" s="77">
        <f t="shared" si="2"/>
        <v>1896742.2</v>
      </c>
      <c r="Y21" s="77">
        <f t="shared" si="3"/>
        <v>1895608.0000000002</v>
      </c>
      <c r="Z21" s="69"/>
      <c r="AA21" s="69"/>
    </row>
    <row r="22" spans="1:27" ht="18.75" customHeight="1" x14ac:dyDescent="0.25">
      <c r="A22" s="357" t="s">
        <v>42</v>
      </c>
      <c r="B22" s="350" t="s">
        <v>303</v>
      </c>
      <c r="C22" s="344"/>
      <c r="D22" s="350" t="s">
        <v>404</v>
      </c>
      <c r="E22" s="352" t="s">
        <v>400</v>
      </c>
      <c r="F22" s="334" t="s">
        <v>253</v>
      </c>
      <c r="G22" s="352" t="s">
        <v>400</v>
      </c>
      <c r="H22" s="334"/>
      <c r="I22" s="332">
        <v>5491.2</v>
      </c>
      <c r="J22" s="332">
        <v>5779.7</v>
      </c>
      <c r="K22" s="332">
        <v>5497.5</v>
      </c>
      <c r="L22" s="332">
        <f>11841.5-J22</f>
        <v>6061.8</v>
      </c>
      <c r="M22" s="336">
        <v>900.4</v>
      </c>
      <c r="N22" s="332"/>
      <c r="O22" s="336">
        <v>9933.6</v>
      </c>
      <c r="P22" s="332"/>
      <c r="Q22" s="350"/>
      <c r="R22" s="67"/>
      <c r="S22" s="75">
        <v>17990.900000000001</v>
      </c>
      <c r="T22" s="51"/>
      <c r="U22" s="51"/>
      <c r="V22" s="51"/>
      <c r="W22" s="77">
        <f t="shared" si="1"/>
        <v>21822.7</v>
      </c>
      <c r="X22" s="77">
        <f t="shared" si="2"/>
        <v>11841.5</v>
      </c>
      <c r="Y22" s="77">
        <f t="shared" si="3"/>
        <v>9981.2000000000007</v>
      </c>
      <c r="Z22" s="51"/>
      <c r="AA22" s="51"/>
    </row>
    <row r="23" spans="1:27" ht="215.25" customHeight="1" x14ac:dyDescent="0.25">
      <c r="A23" s="358"/>
      <c r="B23" s="351"/>
      <c r="C23" s="346"/>
      <c r="D23" s="351"/>
      <c r="E23" s="353"/>
      <c r="F23" s="335"/>
      <c r="G23" s="353"/>
      <c r="H23" s="335"/>
      <c r="I23" s="333"/>
      <c r="J23" s="333"/>
      <c r="K23" s="333"/>
      <c r="L23" s="333"/>
      <c r="M23" s="336"/>
      <c r="N23" s="333"/>
      <c r="O23" s="336"/>
      <c r="P23" s="333"/>
      <c r="Q23" s="351"/>
      <c r="R23" s="67"/>
      <c r="S23" s="75"/>
      <c r="T23" s="84">
        <f>J22+L22+N22+P22</f>
        <v>11841.5</v>
      </c>
      <c r="U23" s="51"/>
      <c r="V23" s="51"/>
      <c r="W23" s="77">
        <f t="shared" si="1"/>
        <v>0</v>
      </c>
      <c r="X23" s="77">
        <f t="shared" si="2"/>
        <v>0</v>
      </c>
      <c r="Y23" s="77">
        <f t="shared" si="3"/>
        <v>0</v>
      </c>
      <c r="Z23" s="51"/>
      <c r="AA23" s="51"/>
    </row>
    <row r="24" spans="1:27" ht="318" customHeight="1" x14ac:dyDescent="0.25">
      <c r="A24" s="85" t="s">
        <v>43</v>
      </c>
      <c r="B24" s="187" t="s">
        <v>304</v>
      </c>
      <c r="C24" s="147"/>
      <c r="D24" s="258" t="s">
        <v>404</v>
      </c>
      <c r="E24" s="352" t="s">
        <v>400</v>
      </c>
      <c r="F24" s="334" t="s">
        <v>253</v>
      </c>
      <c r="G24" s="352" t="s">
        <v>400</v>
      </c>
      <c r="H24" s="334"/>
      <c r="I24" s="221">
        <v>1080884.5</v>
      </c>
      <c r="J24" s="221">
        <v>1148429</v>
      </c>
      <c r="K24" s="229">
        <v>884701.3</v>
      </c>
      <c r="L24" s="237">
        <f>2007078.9-J24</f>
        <v>858649.89999999991</v>
      </c>
      <c r="M24" s="260">
        <v>1060337.5</v>
      </c>
      <c r="N24" s="260"/>
      <c r="O24" s="260">
        <v>1157366.8</v>
      </c>
      <c r="P24" s="229"/>
      <c r="Q24" s="187"/>
      <c r="R24" s="67"/>
      <c r="S24" s="75">
        <v>4448706.7</v>
      </c>
      <c r="T24" s="51"/>
      <c r="U24" s="51"/>
      <c r="V24" s="51"/>
      <c r="W24" s="77">
        <f t="shared" si="1"/>
        <v>4183290.0999999996</v>
      </c>
      <c r="X24" s="77">
        <f t="shared" si="2"/>
        <v>2007078.9</v>
      </c>
      <c r="Y24" s="77">
        <f t="shared" si="3"/>
        <v>2176211.1999999997</v>
      </c>
      <c r="Z24" s="51"/>
      <c r="AA24" s="51"/>
    </row>
    <row r="25" spans="1:27" ht="187.5" hidden="1" customHeight="1" x14ac:dyDescent="0.25">
      <c r="A25" s="146" t="s">
        <v>44</v>
      </c>
      <c r="B25" s="82" t="s">
        <v>206</v>
      </c>
      <c r="C25" s="76"/>
      <c r="D25" s="187"/>
      <c r="E25" s="353"/>
      <c r="F25" s="335"/>
      <c r="G25" s="353"/>
      <c r="H25" s="335"/>
      <c r="I25" s="221"/>
      <c r="J25" s="221"/>
      <c r="K25" s="229"/>
      <c r="L25" s="237"/>
      <c r="M25" s="260"/>
      <c r="N25" s="260"/>
      <c r="O25" s="260"/>
      <c r="P25" s="229"/>
      <c r="Q25" s="187"/>
      <c r="R25" s="67"/>
      <c r="S25" s="75"/>
      <c r="T25" s="51"/>
      <c r="U25" s="51"/>
      <c r="V25" s="51"/>
      <c r="W25" s="77">
        <f t="shared" si="1"/>
        <v>0</v>
      </c>
      <c r="X25" s="77">
        <f t="shared" si="2"/>
        <v>0</v>
      </c>
      <c r="Y25" s="77">
        <f t="shared" si="3"/>
        <v>0</v>
      </c>
      <c r="Z25" s="51"/>
      <c r="AA25" s="51"/>
    </row>
    <row r="26" spans="1:27" ht="349.5" customHeight="1" x14ac:dyDescent="0.25">
      <c r="A26" s="146" t="s">
        <v>91</v>
      </c>
      <c r="B26" s="262" t="s">
        <v>379</v>
      </c>
      <c r="C26" s="76"/>
      <c r="D26" s="262" t="s">
        <v>404</v>
      </c>
      <c r="E26" s="261" t="s">
        <v>400</v>
      </c>
      <c r="F26" s="261">
        <v>44561</v>
      </c>
      <c r="G26" s="261" t="s">
        <v>400</v>
      </c>
      <c r="H26" s="148"/>
      <c r="I26" s="260">
        <v>0</v>
      </c>
      <c r="J26" s="260">
        <v>0</v>
      </c>
      <c r="K26" s="260">
        <v>0</v>
      </c>
      <c r="L26" s="260">
        <v>0</v>
      </c>
      <c r="M26" s="260">
        <v>25</v>
      </c>
      <c r="N26" s="260"/>
      <c r="O26" s="260">
        <v>25</v>
      </c>
      <c r="P26" s="260"/>
      <c r="Q26" s="262"/>
      <c r="R26" s="67"/>
      <c r="S26" s="75"/>
      <c r="T26" s="51"/>
      <c r="U26" s="51"/>
      <c r="V26" s="51"/>
      <c r="W26" s="77"/>
      <c r="X26" s="77"/>
      <c r="Y26" s="77"/>
      <c r="Z26" s="51"/>
      <c r="AA26" s="51"/>
    </row>
    <row r="27" spans="1:27" ht="324" customHeight="1" x14ac:dyDescent="0.25">
      <c r="A27" s="337" t="s">
        <v>45</v>
      </c>
      <c r="B27" s="350" t="s">
        <v>306</v>
      </c>
      <c r="C27" s="344"/>
      <c r="D27" s="350" t="s">
        <v>406</v>
      </c>
      <c r="E27" s="334" t="s">
        <v>400</v>
      </c>
      <c r="F27" s="334" t="s">
        <v>253</v>
      </c>
      <c r="G27" s="334" t="s">
        <v>400</v>
      </c>
      <c r="H27" s="334"/>
      <c r="I27" s="332">
        <v>1311.8</v>
      </c>
      <c r="J27" s="332">
        <v>1312.4</v>
      </c>
      <c r="K27" s="332">
        <v>1288.5</v>
      </c>
      <c r="L27" s="332">
        <f>2606.3-J27</f>
        <v>1293.9000000000001</v>
      </c>
      <c r="M27" s="332">
        <v>1429.2</v>
      </c>
      <c r="N27" s="332"/>
      <c r="O27" s="332">
        <v>1687.3</v>
      </c>
      <c r="P27" s="332"/>
      <c r="Q27" s="350"/>
      <c r="R27" s="67"/>
      <c r="S27" s="75">
        <v>5073.8</v>
      </c>
      <c r="T27" s="51"/>
      <c r="U27" s="51"/>
      <c r="V27" s="51"/>
      <c r="W27" s="77">
        <f t="shared" ref="W27:W57" si="6">I27+K27+M27+O27</f>
        <v>5716.8</v>
      </c>
      <c r="X27" s="77">
        <f t="shared" ref="X27:X57" si="7">J27+L27+N27+P27</f>
        <v>2606.3000000000002</v>
      </c>
      <c r="Y27" s="77">
        <f t="shared" ref="Y27:Y57" si="8">W27-X27</f>
        <v>3110.5</v>
      </c>
      <c r="Z27" s="51"/>
      <c r="AA27" s="51"/>
    </row>
    <row r="28" spans="1:27" ht="249" customHeight="1" x14ac:dyDescent="0.25">
      <c r="A28" s="338"/>
      <c r="B28" s="351"/>
      <c r="C28" s="346"/>
      <c r="D28" s="351"/>
      <c r="E28" s="335"/>
      <c r="F28" s="335"/>
      <c r="G28" s="335"/>
      <c r="H28" s="335"/>
      <c r="I28" s="333"/>
      <c r="J28" s="333"/>
      <c r="K28" s="333"/>
      <c r="L28" s="333"/>
      <c r="M28" s="336"/>
      <c r="N28" s="333"/>
      <c r="O28" s="336"/>
      <c r="P28" s="333"/>
      <c r="Q28" s="351"/>
      <c r="R28" s="67"/>
      <c r="S28" s="75"/>
      <c r="T28" s="51"/>
      <c r="U28" s="51"/>
      <c r="V28" s="51"/>
      <c r="W28" s="77">
        <f t="shared" si="6"/>
        <v>0</v>
      </c>
      <c r="X28" s="77">
        <f t="shared" si="7"/>
        <v>0</v>
      </c>
      <c r="Y28" s="77">
        <f t="shared" si="8"/>
        <v>0</v>
      </c>
      <c r="Z28" s="51"/>
      <c r="AA28" s="51"/>
    </row>
    <row r="29" spans="1:27" ht="306" customHeight="1" x14ac:dyDescent="0.25">
      <c r="A29" s="163" t="s">
        <v>46</v>
      </c>
      <c r="B29" s="176" t="s">
        <v>307</v>
      </c>
      <c r="C29" s="86"/>
      <c r="D29" s="253" t="s">
        <v>406</v>
      </c>
      <c r="E29" s="257" t="s">
        <v>400</v>
      </c>
      <c r="F29" s="180" t="s">
        <v>253</v>
      </c>
      <c r="G29" s="257" t="s">
        <v>400</v>
      </c>
      <c r="H29" s="180"/>
      <c r="I29" s="218">
        <v>2775.2</v>
      </c>
      <c r="J29" s="218">
        <v>2773.1</v>
      </c>
      <c r="K29" s="226">
        <v>2720.3</v>
      </c>
      <c r="L29" s="238">
        <f>5513.3-J29</f>
        <v>2740.2000000000003</v>
      </c>
      <c r="M29" s="229">
        <v>3131.2</v>
      </c>
      <c r="N29" s="87"/>
      <c r="O29" s="229">
        <v>3897.8</v>
      </c>
      <c r="P29" s="226"/>
      <c r="Q29" s="176"/>
      <c r="R29" s="67"/>
      <c r="S29" s="75">
        <v>11085.1</v>
      </c>
      <c r="T29" s="88"/>
      <c r="U29" s="88"/>
      <c r="V29" s="88"/>
      <c r="W29" s="77">
        <f t="shared" si="6"/>
        <v>12524.5</v>
      </c>
      <c r="X29" s="77">
        <f t="shared" si="7"/>
        <v>5513.3</v>
      </c>
      <c r="Y29" s="77">
        <f t="shared" si="8"/>
        <v>7011.2</v>
      </c>
      <c r="Z29" s="88"/>
      <c r="AA29" s="88"/>
    </row>
    <row r="30" spans="1:27" ht="180.75" customHeight="1" x14ac:dyDescent="0.25">
      <c r="A30" s="146" t="s">
        <v>47</v>
      </c>
      <c r="B30" s="187" t="s">
        <v>308</v>
      </c>
      <c r="C30" s="147"/>
      <c r="D30" s="258" t="s">
        <v>404</v>
      </c>
      <c r="E30" s="257" t="s">
        <v>400</v>
      </c>
      <c r="F30" s="180" t="s">
        <v>253</v>
      </c>
      <c r="G30" s="257" t="s">
        <v>400</v>
      </c>
      <c r="H30" s="180"/>
      <c r="I30" s="221">
        <v>391.7</v>
      </c>
      <c r="J30" s="221">
        <v>391.7</v>
      </c>
      <c r="K30" s="229">
        <v>691.4</v>
      </c>
      <c r="L30" s="237">
        <f>1337.7-J30</f>
        <v>946</v>
      </c>
      <c r="M30" s="229">
        <v>920.3</v>
      </c>
      <c r="N30" s="229"/>
      <c r="O30" s="229">
        <v>1677.6</v>
      </c>
      <c r="P30" s="229"/>
      <c r="Q30" s="187"/>
      <c r="R30" s="67"/>
      <c r="S30" s="75">
        <v>2601.1</v>
      </c>
      <c r="T30" s="51"/>
      <c r="U30" s="51"/>
      <c r="V30" s="51"/>
      <c r="W30" s="77">
        <f t="shared" si="6"/>
        <v>3681</v>
      </c>
      <c r="X30" s="77">
        <f t="shared" si="7"/>
        <v>1337.7</v>
      </c>
      <c r="Y30" s="77">
        <f t="shared" si="8"/>
        <v>2343.3000000000002</v>
      </c>
      <c r="Z30" s="51"/>
      <c r="AA30" s="51"/>
    </row>
    <row r="31" spans="1:27" ht="366.75" customHeight="1" x14ac:dyDescent="0.25">
      <c r="A31" s="146" t="s">
        <v>49</v>
      </c>
      <c r="B31" s="262" t="s">
        <v>309</v>
      </c>
      <c r="C31" s="147"/>
      <c r="D31" s="262" t="s">
        <v>406</v>
      </c>
      <c r="E31" s="261" t="s">
        <v>400</v>
      </c>
      <c r="F31" s="148" t="s">
        <v>253</v>
      </c>
      <c r="G31" s="261" t="s">
        <v>400</v>
      </c>
      <c r="H31" s="148"/>
      <c r="I31" s="260">
        <v>6.6</v>
      </c>
      <c r="J31" s="260">
        <v>6.6</v>
      </c>
      <c r="K31" s="260">
        <v>4.0999999999999996</v>
      </c>
      <c r="L31" s="260">
        <f>10.1-J31</f>
        <v>3.5</v>
      </c>
      <c r="M31" s="260">
        <v>13.8</v>
      </c>
      <c r="N31" s="260"/>
      <c r="O31" s="260">
        <v>30.4</v>
      </c>
      <c r="P31" s="260"/>
      <c r="Q31" s="262"/>
      <c r="R31" s="67"/>
      <c r="S31" s="75">
        <v>53.1</v>
      </c>
      <c r="T31" s="51"/>
      <c r="U31" s="51"/>
      <c r="V31" s="51"/>
      <c r="W31" s="77">
        <f t="shared" si="6"/>
        <v>54.9</v>
      </c>
      <c r="X31" s="77">
        <f t="shared" si="7"/>
        <v>10.1</v>
      </c>
      <c r="Y31" s="77">
        <f t="shared" si="8"/>
        <v>44.8</v>
      </c>
      <c r="Z31" s="51"/>
      <c r="AA31" s="51"/>
    </row>
    <row r="32" spans="1:27" ht="18.75" customHeight="1" x14ac:dyDescent="0.25">
      <c r="A32" s="337" t="s">
        <v>50</v>
      </c>
      <c r="B32" s="350" t="s">
        <v>310</v>
      </c>
      <c r="C32" s="344"/>
      <c r="D32" s="350" t="s">
        <v>406</v>
      </c>
      <c r="E32" s="334" t="s">
        <v>400</v>
      </c>
      <c r="F32" s="334" t="s">
        <v>253</v>
      </c>
      <c r="G32" s="334" t="s">
        <v>400</v>
      </c>
      <c r="H32" s="334"/>
      <c r="I32" s="332">
        <v>271.5</v>
      </c>
      <c r="J32" s="332">
        <v>277.8</v>
      </c>
      <c r="K32" s="332">
        <v>266</v>
      </c>
      <c r="L32" s="332">
        <f>555-J32</f>
        <v>277.2</v>
      </c>
      <c r="M32" s="332">
        <v>306.7</v>
      </c>
      <c r="N32" s="332"/>
      <c r="O32" s="332">
        <v>382.6</v>
      </c>
      <c r="P32" s="332"/>
      <c r="Q32" s="350"/>
      <c r="R32" s="67"/>
      <c r="S32" s="75">
        <v>823.1</v>
      </c>
      <c r="T32" s="51"/>
      <c r="U32" s="51"/>
      <c r="V32" s="51"/>
      <c r="W32" s="77">
        <f t="shared" si="6"/>
        <v>1226.8000000000002</v>
      </c>
      <c r="X32" s="77">
        <f t="shared" si="7"/>
        <v>555</v>
      </c>
      <c r="Y32" s="77">
        <f t="shared" si="8"/>
        <v>671.80000000000018</v>
      </c>
      <c r="Z32" s="51"/>
      <c r="AA32" s="51"/>
    </row>
    <row r="33" spans="1:27" ht="394.5" customHeight="1" x14ac:dyDescent="0.25">
      <c r="A33" s="338"/>
      <c r="B33" s="351"/>
      <c r="C33" s="346"/>
      <c r="D33" s="351"/>
      <c r="E33" s="335"/>
      <c r="F33" s="335"/>
      <c r="G33" s="335"/>
      <c r="H33" s="335"/>
      <c r="I33" s="333"/>
      <c r="J33" s="333"/>
      <c r="K33" s="333"/>
      <c r="L33" s="333"/>
      <c r="M33" s="333"/>
      <c r="N33" s="333"/>
      <c r="O33" s="365"/>
      <c r="P33" s="333"/>
      <c r="Q33" s="351"/>
      <c r="R33" s="67"/>
      <c r="S33" s="75"/>
      <c r="T33" s="51"/>
      <c r="U33" s="51"/>
      <c r="V33" s="51"/>
      <c r="W33" s="77">
        <f t="shared" si="6"/>
        <v>0</v>
      </c>
      <c r="X33" s="77">
        <f t="shared" si="7"/>
        <v>0</v>
      </c>
      <c r="Y33" s="77">
        <f t="shared" si="8"/>
        <v>0</v>
      </c>
      <c r="Z33" s="51"/>
      <c r="AA33" s="51"/>
    </row>
    <row r="34" spans="1:27" ht="387" customHeight="1" x14ac:dyDescent="0.25">
      <c r="A34" s="169" t="s">
        <v>51</v>
      </c>
      <c r="B34" s="188" t="s">
        <v>378</v>
      </c>
      <c r="C34" s="188"/>
      <c r="D34" s="188" t="s">
        <v>406</v>
      </c>
      <c r="E34" s="334" t="s">
        <v>400</v>
      </c>
      <c r="F34" s="334" t="s">
        <v>253</v>
      </c>
      <c r="G34" s="334" t="s">
        <v>400</v>
      </c>
      <c r="H34" s="334"/>
      <c r="I34" s="218">
        <v>172.5</v>
      </c>
      <c r="J34" s="218">
        <v>172.5</v>
      </c>
      <c r="K34" s="226">
        <v>407.3</v>
      </c>
      <c r="L34" s="238">
        <f>823.3-J34</f>
        <v>650.79999999999995</v>
      </c>
      <c r="M34" s="332">
        <v>659.8</v>
      </c>
      <c r="N34" s="226"/>
      <c r="O34" s="332">
        <v>1399.4</v>
      </c>
      <c r="P34" s="226"/>
      <c r="Q34" s="176"/>
      <c r="R34" s="67"/>
      <c r="S34" s="75">
        <v>2442.8000000000002</v>
      </c>
      <c r="T34" s="51"/>
      <c r="U34" s="51"/>
      <c r="V34" s="51"/>
      <c r="W34" s="77">
        <f t="shared" si="6"/>
        <v>2639</v>
      </c>
      <c r="X34" s="77">
        <f t="shared" si="7"/>
        <v>823.3</v>
      </c>
      <c r="Y34" s="77">
        <f t="shared" si="8"/>
        <v>1815.7</v>
      </c>
      <c r="Z34" s="51"/>
      <c r="AA34" s="51"/>
    </row>
    <row r="35" spans="1:27" ht="301.5" customHeight="1" x14ac:dyDescent="0.25">
      <c r="A35" s="90"/>
      <c r="B35" s="90" t="s">
        <v>377</v>
      </c>
      <c r="C35" s="90"/>
      <c r="D35" s="90"/>
      <c r="E35" s="335"/>
      <c r="F35" s="335"/>
      <c r="G35" s="335"/>
      <c r="H35" s="335"/>
      <c r="I35" s="90"/>
      <c r="J35" s="90"/>
      <c r="K35" s="90"/>
      <c r="L35" s="241"/>
      <c r="M35" s="336"/>
      <c r="N35" s="90"/>
      <c r="O35" s="333"/>
      <c r="P35" s="90"/>
      <c r="Q35" s="90"/>
      <c r="R35" s="67"/>
      <c r="S35" s="75"/>
      <c r="T35" s="51"/>
      <c r="U35" s="51"/>
      <c r="V35" s="51"/>
      <c r="W35" s="77">
        <f t="shared" si="6"/>
        <v>0</v>
      </c>
      <c r="X35" s="77">
        <f t="shared" si="7"/>
        <v>0</v>
      </c>
      <c r="Y35" s="77">
        <f t="shared" si="8"/>
        <v>0</v>
      </c>
      <c r="Z35" s="51"/>
      <c r="AA35" s="51"/>
    </row>
    <row r="36" spans="1:27" ht="219" customHeight="1" x14ac:dyDescent="0.25">
      <c r="A36" s="146" t="s">
        <v>52</v>
      </c>
      <c r="B36" s="262" t="s">
        <v>312</v>
      </c>
      <c r="C36" s="147"/>
      <c r="D36" s="76" t="s">
        <v>406</v>
      </c>
      <c r="E36" s="148" t="s">
        <v>400</v>
      </c>
      <c r="F36" s="148" t="s">
        <v>253</v>
      </c>
      <c r="G36" s="261">
        <v>44207</v>
      </c>
      <c r="H36" s="148"/>
      <c r="I36" s="260">
        <v>8342.7999999999993</v>
      </c>
      <c r="J36" s="260">
        <v>9583.9</v>
      </c>
      <c r="K36" s="260">
        <v>10315.6</v>
      </c>
      <c r="L36" s="260">
        <f>20881.3-J36</f>
        <v>11297.4</v>
      </c>
      <c r="M36" s="260">
        <v>0</v>
      </c>
      <c r="N36" s="260"/>
      <c r="O36" s="260">
        <v>0</v>
      </c>
      <c r="P36" s="260"/>
      <c r="Q36" s="262"/>
      <c r="R36" s="67"/>
      <c r="S36" s="75">
        <v>37607.800000000003</v>
      </c>
      <c r="T36" s="51"/>
      <c r="U36" s="51"/>
      <c r="V36" s="51"/>
      <c r="W36" s="77">
        <f t="shared" si="6"/>
        <v>18658.400000000001</v>
      </c>
      <c r="X36" s="77">
        <f t="shared" si="7"/>
        <v>20881.3</v>
      </c>
      <c r="Y36" s="77">
        <f t="shared" si="8"/>
        <v>-2222.8999999999978</v>
      </c>
      <c r="Z36" s="51"/>
      <c r="AA36" s="51"/>
    </row>
    <row r="37" spans="1:27" ht="178.5" customHeight="1" x14ac:dyDescent="0.25">
      <c r="A37" s="146" t="s">
        <v>53</v>
      </c>
      <c r="B37" s="187" t="s">
        <v>313</v>
      </c>
      <c r="C37" s="147"/>
      <c r="D37" s="76" t="s">
        <v>406</v>
      </c>
      <c r="E37" s="259" t="s">
        <v>400</v>
      </c>
      <c r="F37" s="180" t="s">
        <v>253</v>
      </c>
      <c r="G37" s="259" t="s">
        <v>400</v>
      </c>
      <c r="H37" s="148"/>
      <c r="I37" s="221">
        <v>0</v>
      </c>
      <c r="J37" s="221">
        <v>0</v>
      </c>
      <c r="K37" s="229">
        <v>0</v>
      </c>
      <c r="L37" s="237">
        <v>0</v>
      </c>
      <c r="M37" s="229">
        <v>19.5</v>
      </c>
      <c r="N37" s="229"/>
      <c r="O37" s="229">
        <v>19.5</v>
      </c>
      <c r="P37" s="229"/>
      <c r="Q37" s="187"/>
      <c r="R37" s="67"/>
      <c r="S37" s="75">
        <v>0</v>
      </c>
      <c r="T37" s="51"/>
      <c r="U37" s="51"/>
      <c r="V37" s="51"/>
      <c r="W37" s="77">
        <f t="shared" si="6"/>
        <v>39</v>
      </c>
      <c r="X37" s="77">
        <f t="shared" si="7"/>
        <v>0</v>
      </c>
      <c r="Y37" s="77">
        <f t="shared" si="8"/>
        <v>39</v>
      </c>
      <c r="Z37" s="51"/>
      <c r="AA37" s="51"/>
    </row>
    <row r="38" spans="1:27" ht="253.5" customHeight="1" x14ac:dyDescent="0.25">
      <c r="A38" s="146" t="s">
        <v>388</v>
      </c>
      <c r="B38" s="222" t="s">
        <v>395</v>
      </c>
      <c r="C38" s="147"/>
      <c r="D38" s="76" t="s">
        <v>406</v>
      </c>
      <c r="E38" s="217" t="s">
        <v>405</v>
      </c>
      <c r="F38" s="217">
        <v>44561</v>
      </c>
      <c r="G38" s="255" t="s">
        <v>405</v>
      </c>
      <c r="H38" s="148"/>
      <c r="I38" s="221">
        <v>0</v>
      </c>
      <c r="J38" s="221">
        <v>0</v>
      </c>
      <c r="K38" s="229">
        <v>0</v>
      </c>
      <c r="L38" s="237">
        <v>0</v>
      </c>
      <c r="M38" s="229">
        <v>0</v>
      </c>
      <c r="N38" s="229"/>
      <c r="O38" s="229">
        <v>19750.3</v>
      </c>
      <c r="P38" s="229"/>
      <c r="Q38" s="222"/>
      <c r="R38" s="67"/>
      <c r="S38" s="75"/>
      <c r="T38" s="51"/>
      <c r="U38" s="51"/>
      <c r="V38" s="51"/>
      <c r="W38" s="77">
        <f t="shared" si="6"/>
        <v>19750.3</v>
      </c>
      <c r="X38" s="77">
        <f t="shared" si="7"/>
        <v>0</v>
      </c>
      <c r="Y38" s="77">
        <f t="shared" si="8"/>
        <v>19750.3</v>
      </c>
      <c r="Z38" s="51"/>
      <c r="AA38" s="51"/>
    </row>
    <row r="39" spans="1:27" ht="222" customHeight="1" x14ac:dyDescent="0.25">
      <c r="A39" s="146" t="s">
        <v>389</v>
      </c>
      <c r="B39" s="222" t="s">
        <v>396</v>
      </c>
      <c r="C39" s="147"/>
      <c r="D39" s="76" t="s">
        <v>406</v>
      </c>
      <c r="E39" s="255" t="s">
        <v>405</v>
      </c>
      <c r="F39" s="217">
        <v>44561</v>
      </c>
      <c r="G39" s="255" t="s">
        <v>405</v>
      </c>
      <c r="H39" s="148"/>
      <c r="I39" s="221">
        <v>0</v>
      </c>
      <c r="J39" s="221">
        <v>0</v>
      </c>
      <c r="K39" s="229">
        <v>0</v>
      </c>
      <c r="L39" s="237">
        <v>0</v>
      </c>
      <c r="M39" s="229">
        <v>0</v>
      </c>
      <c r="N39" s="229"/>
      <c r="O39" s="229">
        <v>903.8</v>
      </c>
      <c r="P39" s="229"/>
      <c r="Q39" s="222"/>
      <c r="R39" s="67"/>
      <c r="S39" s="75"/>
      <c r="T39" s="51"/>
      <c r="U39" s="51"/>
      <c r="V39" s="51"/>
      <c r="W39" s="77">
        <f t="shared" si="6"/>
        <v>903.8</v>
      </c>
      <c r="X39" s="77">
        <f t="shared" si="7"/>
        <v>0</v>
      </c>
      <c r="Y39" s="77">
        <f t="shared" si="8"/>
        <v>903.8</v>
      </c>
      <c r="Z39" s="51"/>
      <c r="AA39" s="51"/>
    </row>
    <row r="40" spans="1:27" ht="180.75" customHeight="1" x14ac:dyDescent="0.25">
      <c r="A40" s="146" t="s">
        <v>54</v>
      </c>
      <c r="B40" s="187" t="s">
        <v>314</v>
      </c>
      <c r="C40" s="147"/>
      <c r="D40" s="76" t="s">
        <v>406</v>
      </c>
      <c r="E40" s="180" t="s">
        <v>397</v>
      </c>
      <c r="F40" s="180" t="s">
        <v>253</v>
      </c>
      <c r="G40" s="224" t="s">
        <v>397</v>
      </c>
      <c r="H40" s="185"/>
      <c r="I40" s="221">
        <v>0</v>
      </c>
      <c r="J40" s="221">
        <v>0</v>
      </c>
      <c r="K40" s="229">
        <v>0</v>
      </c>
      <c r="L40" s="237">
        <v>0</v>
      </c>
      <c r="M40" s="260">
        <v>99</v>
      </c>
      <c r="N40" s="229"/>
      <c r="O40" s="226">
        <v>99</v>
      </c>
      <c r="P40" s="229"/>
      <c r="Q40" s="187"/>
      <c r="R40" s="67"/>
      <c r="S40" s="75">
        <v>90.6</v>
      </c>
      <c r="T40" s="51"/>
      <c r="U40" s="51"/>
      <c r="V40" s="51"/>
      <c r="W40" s="77">
        <f t="shared" si="6"/>
        <v>198</v>
      </c>
      <c r="X40" s="77">
        <f t="shared" si="7"/>
        <v>0</v>
      </c>
      <c r="Y40" s="77">
        <f t="shared" si="8"/>
        <v>198</v>
      </c>
      <c r="Z40" s="51"/>
      <c r="AA40" s="51"/>
    </row>
    <row r="41" spans="1:27" ht="222" customHeight="1" x14ac:dyDescent="0.25">
      <c r="A41" s="146" t="s">
        <v>55</v>
      </c>
      <c r="B41" s="187" t="s">
        <v>315</v>
      </c>
      <c r="C41" s="147"/>
      <c r="D41" s="76" t="s">
        <v>406</v>
      </c>
      <c r="E41" s="259" t="s">
        <v>400</v>
      </c>
      <c r="F41" s="180" t="s">
        <v>253</v>
      </c>
      <c r="G41" s="259" t="s">
        <v>400</v>
      </c>
      <c r="H41" s="185"/>
      <c r="I41" s="221">
        <v>320226.90000000002</v>
      </c>
      <c r="J41" s="221">
        <v>320226.90000000002</v>
      </c>
      <c r="K41" s="229">
        <v>3285.5</v>
      </c>
      <c r="L41" s="237">
        <f>324037.7-J41</f>
        <v>3810.7999999999884</v>
      </c>
      <c r="M41" s="260">
        <v>1918.4</v>
      </c>
      <c r="N41" s="229"/>
      <c r="O41" s="226">
        <v>12814.8</v>
      </c>
      <c r="P41" s="229"/>
      <c r="Q41" s="187"/>
      <c r="R41" s="67"/>
      <c r="S41" s="75">
        <v>309447.59999999998</v>
      </c>
      <c r="T41" s="51"/>
      <c r="U41" s="51"/>
      <c r="V41" s="51"/>
      <c r="W41" s="77">
        <f t="shared" si="6"/>
        <v>338245.60000000003</v>
      </c>
      <c r="X41" s="77">
        <f t="shared" si="7"/>
        <v>324037.7</v>
      </c>
      <c r="Y41" s="77">
        <f t="shared" si="8"/>
        <v>14207.900000000023</v>
      </c>
      <c r="Z41" s="51"/>
      <c r="AA41" s="51"/>
    </row>
    <row r="42" spans="1:27" ht="252" customHeight="1" x14ac:dyDescent="0.25">
      <c r="A42" s="337" t="s">
        <v>56</v>
      </c>
      <c r="B42" s="350" t="s">
        <v>316</v>
      </c>
      <c r="C42" s="344"/>
      <c r="D42" s="350" t="s">
        <v>406</v>
      </c>
      <c r="E42" s="352" t="s">
        <v>400</v>
      </c>
      <c r="F42" s="352">
        <v>44561</v>
      </c>
      <c r="G42" s="352" t="s">
        <v>400</v>
      </c>
      <c r="H42" s="352"/>
      <c r="I42" s="332">
        <v>27903.4</v>
      </c>
      <c r="J42" s="332">
        <v>27903.4</v>
      </c>
      <c r="K42" s="332">
        <v>27166.5</v>
      </c>
      <c r="L42" s="332">
        <f>55313.8-J42</f>
        <v>27410.400000000001</v>
      </c>
      <c r="M42" s="332">
        <v>24802.1</v>
      </c>
      <c r="N42" s="332"/>
      <c r="O42" s="332">
        <v>22437.7</v>
      </c>
      <c r="P42" s="332"/>
      <c r="Q42" s="350"/>
      <c r="R42" s="67"/>
      <c r="S42" s="75">
        <v>87599.6</v>
      </c>
      <c r="T42" s="51"/>
      <c r="U42" s="51"/>
      <c r="V42" s="51"/>
      <c r="W42" s="77">
        <f t="shared" si="6"/>
        <v>102309.7</v>
      </c>
      <c r="X42" s="77">
        <f t="shared" si="7"/>
        <v>55313.8</v>
      </c>
      <c r="Y42" s="77">
        <f t="shared" si="8"/>
        <v>46995.899999999994</v>
      </c>
      <c r="Z42" s="51"/>
      <c r="AA42" s="51"/>
    </row>
    <row r="43" spans="1:27" ht="201.75" customHeight="1" x14ac:dyDescent="0.25">
      <c r="A43" s="338"/>
      <c r="B43" s="351"/>
      <c r="C43" s="346"/>
      <c r="D43" s="351"/>
      <c r="E43" s="353"/>
      <c r="F43" s="353"/>
      <c r="G43" s="353"/>
      <c r="H43" s="353"/>
      <c r="I43" s="333"/>
      <c r="J43" s="333"/>
      <c r="K43" s="333"/>
      <c r="L43" s="333"/>
      <c r="M43" s="333"/>
      <c r="N43" s="333"/>
      <c r="O43" s="366"/>
      <c r="P43" s="333"/>
      <c r="Q43" s="351"/>
      <c r="R43" s="67"/>
      <c r="S43" s="75"/>
      <c r="T43" s="51"/>
      <c r="U43" s="51"/>
      <c r="V43" s="51"/>
      <c r="W43" s="77">
        <f t="shared" si="6"/>
        <v>0</v>
      </c>
      <c r="X43" s="77">
        <f t="shared" si="7"/>
        <v>0</v>
      </c>
      <c r="Y43" s="77">
        <f t="shared" si="8"/>
        <v>0</v>
      </c>
      <c r="Z43" s="51"/>
      <c r="AA43" s="51"/>
    </row>
    <row r="44" spans="1:27" ht="409.5" customHeight="1" x14ac:dyDescent="0.25">
      <c r="A44" s="337" t="s">
        <v>57</v>
      </c>
      <c r="B44" s="350" t="s">
        <v>317</v>
      </c>
      <c r="C44" s="344"/>
      <c r="D44" s="350" t="s">
        <v>406</v>
      </c>
      <c r="E44" s="352" t="s">
        <v>400</v>
      </c>
      <c r="F44" s="352">
        <v>44561</v>
      </c>
      <c r="G44" s="352" t="s">
        <v>400</v>
      </c>
      <c r="H44" s="352"/>
      <c r="I44" s="332">
        <v>258.60000000000002</v>
      </c>
      <c r="J44" s="332">
        <v>258.60000000000002</v>
      </c>
      <c r="K44" s="332">
        <v>0</v>
      </c>
      <c r="L44" s="332">
        <v>0</v>
      </c>
      <c r="M44" s="332">
        <v>411.4</v>
      </c>
      <c r="N44" s="332"/>
      <c r="O44" s="332">
        <v>822.9</v>
      </c>
      <c r="P44" s="332"/>
      <c r="Q44" s="350"/>
      <c r="R44" s="67"/>
      <c r="S44" s="75">
        <v>1396.6</v>
      </c>
      <c r="T44" s="51"/>
      <c r="U44" s="51"/>
      <c r="V44" s="51"/>
      <c r="W44" s="77">
        <f t="shared" si="6"/>
        <v>1492.9</v>
      </c>
      <c r="X44" s="77">
        <f t="shared" si="7"/>
        <v>258.60000000000002</v>
      </c>
      <c r="Y44" s="77">
        <f t="shared" si="8"/>
        <v>1234.3000000000002</v>
      </c>
      <c r="Z44" s="51"/>
      <c r="AA44" s="51"/>
    </row>
    <row r="45" spans="1:27" ht="43.5" customHeight="1" x14ac:dyDescent="0.25">
      <c r="A45" s="338"/>
      <c r="B45" s="351"/>
      <c r="C45" s="346"/>
      <c r="D45" s="351"/>
      <c r="E45" s="353"/>
      <c r="F45" s="353"/>
      <c r="G45" s="353"/>
      <c r="H45" s="353"/>
      <c r="I45" s="333"/>
      <c r="J45" s="333"/>
      <c r="K45" s="333"/>
      <c r="L45" s="333"/>
      <c r="M45" s="333"/>
      <c r="N45" s="333"/>
      <c r="O45" s="366"/>
      <c r="P45" s="333"/>
      <c r="Q45" s="351"/>
      <c r="R45" s="67"/>
      <c r="S45" s="75"/>
      <c r="T45" s="51"/>
      <c r="U45" s="51"/>
      <c r="V45" s="51"/>
      <c r="W45" s="77">
        <f t="shared" si="6"/>
        <v>0</v>
      </c>
      <c r="X45" s="77">
        <f t="shared" si="7"/>
        <v>0</v>
      </c>
      <c r="Y45" s="77">
        <f t="shared" si="8"/>
        <v>0</v>
      </c>
      <c r="Z45" s="51"/>
      <c r="AA45" s="51"/>
    </row>
    <row r="46" spans="1:27" ht="408.75" customHeight="1" x14ac:dyDescent="0.25">
      <c r="A46" s="367" t="s">
        <v>58</v>
      </c>
      <c r="B46" s="368" t="s">
        <v>318</v>
      </c>
      <c r="C46" s="369"/>
      <c r="D46" s="368" t="s">
        <v>406</v>
      </c>
      <c r="E46" s="370" t="s">
        <v>400</v>
      </c>
      <c r="F46" s="370">
        <v>44561</v>
      </c>
      <c r="G46" s="370" t="s">
        <v>400</v>
      </c>
      <c r="H46" s="370"/>
      <c r="I46" s="336">
        <v>4015.2</v>
      </c>
      <c r="J46" s="336">
        <v>4015.2</v>
      </c>
      <c r="K46" s="336">
        <v>4015.1</v>
      </c>
      <c r="L46" s="336">
        <f>8031.2-J46</f>
        <v>4016</v>
      </c>
      <c r="M46" s="336">
        <v>4991</v>
      </c>
      <c r="N46" s="332"/>
      <c r="O46" s="336">
        <v>4517.8999999999996</v>
      </c>
      <c r="P46" s="336"/>
      <c r="Q46" s="368"/>
      <c r="R46" s="67"/>
      <c r="S46" s="75">
        <v>3950.4</v>
      </c>
      <c r="T46" s="51"/>
      <c r="U46" s="51"/>
      <c r="V46" s="51"/>
      <c r="W46" s="77">
        <f t="shared" si="6"/>
        <v>17539.199999999997</v>
      </c>
      <c r="X46" s="77">
        <f t="shared" si="7"/>
        <v>8031.2</v>
      </c>
      <c r="Y46" s="77">
        <f t="shared" si="8"/>
        <v>9507.9999999999964</v>
      </c>
      <c r="Z46" s="51"/>
      <c r="AA46" s="51"/>
    </row>
    <row r="47" spans="1:27" ht="31.5" customHeight="1" x14ac:dyDescent="0.25">
      <c r="A47" s="367"/>
      <c r="B47" s="368"/>
      <c r="C47" s="369"/>
      <c r="D47" s="368"/>
      <c r="E47" s="370"/>
      <c r="F47" s="370"/>
      <c r="G47" s="370"/>
      <c r="H47" s="370"/>
      <c r="I47" s="336"/>
      <c r="J47" s="336"/>
      <c r="K47" s="336"/>
      <c r="L47" s="336"/>
      <c r="M47" s="336"/>
      <c r="N47" s="333"/>
      <c r="O47" s="336"/>
      <c r="P47" s="336"/>
      <c r="Q47" s="368"/>
      <c r="R47" s="67"/>
      <c r="S47" s="75"/>
      <c r="T47" s="51"/>
      <c r="U47" s="51"/>
      <c r="V47" s="51"/>
      <c r="W47" s="77">
        <f t="shared" si="6"/>
        <v>0</v>
      </c>
      <c r="X47" s="77">
        <f t="shared" si="7"/>
        <v>0</v>
      </c>
      <c r="Y47" s="77">
        <f t="shared" si="8"/>
        <v>0</v>
      </c>
      <c r="Z47" s="51"/>
      <c r="AA47" s="51"/>
    </row>
    <row r="48" spans="1:27" ht="399" customHeight="1" x14ac:dyDescent="0.25">
      <c r="A48" s="146" t="s">
        <v>59</v>
      </c>
      <c r="B48" s="187" t="s">
        <v>319</v>
      </c>
      <c r="C48" s="147"/>
      <c r="D48" s="76" t="s">
        <v>406</v>
      </c>
      <c r="E48" s="259" t="s">
        <v>400</v>
      </c>
      <c r="F48" s="148" t="s">
        <v>253</v>
      </c>
      <c r="G48" s="259" t="s">
        <v>400</v>
      </c>
      <c r="H48" s="185"/>
      <c r="I48" s="221">
        <v>26.4</v>
      </c>
      <c r="J48" s="221">
        <v>26.4</v>
      </c>
      <c r="K48" s="229">
        <v>0.1</v>
      </c>
      <c r="L48" s="237">
        <v>0.1</v>
      </c>
      <c r="M48" s="226">
        <v>19.8</v>
      </c>
      <c r="N48" s="229"/>
      <c r="O48" s="226">
        <v>77.400000000000006</v>
      </c>
      <c r="P48" s="229"/>
      <c r="Q48" s="187"/>
      <c r="R48" s="67"/>
      <c r="S48" s="75">
        <v>114.5</v>
      </c>
      <c r="T48" s="51"/>
      <c r="U48" s="51"/>
      <c r="V48" s="51"/>
      <c r="W48" s="77">
        <f t="shared" si="6"/>
        <v>123.7</v>
      </c>
      <c r="X48" s="77">
        <f t="shared" si="7"/>
        <v>26.5</v>
      </c>
      <c r="Y48" s="77">
        <f t="shared" si="8"/>
        <v>97.2</v>
      </c>
      <c r="Z48" s="51"/>
      <c r="AA48" s="51"/>
    </row>
    <row r="49" spans="1:27" ht="218.25" customHeight="1" x14ac:dyDescent="0.25">
      <c r="A49" s="146" t="s">
        <v>60</v>
      </c>
      <c r="B49" s="187" t="s">
        <v>320</v>
      </c>
      <c r="C49" s="147"/>
      <c r="D49" s="76" t="s">
        <v>406</v>
      </c>
      <c r="E49" s="259" t="s">
        <v>400</v>
      </c>
      <c r="F49" s="185">
        <v>44561</v>
      </c>
      <c r="G49" s="259" t="s">
        <v>400</v>
      </c>
      <c r="H49" s="185"/>
      <c r="I49" s="221">
        <v>10769.4</v>
      </c>
      <c r="J49" s="221">
        <v>10769.4</v>
      </c>
      <c r="K49" s="229">
        <v>10505.4</v>
      </c>
      <c r="L49" s="237">
        <f>21538.8-J49</f>
        <v>10769.4</v>
      </c>
      <c r="M49" s="229">
        <v>11977.9</v>
      </c>
      <c r="N49" s="229"/>
      <c r="O49" s="229">
        <v>13594.4</v>
      </c>
      <c r="P49" s="229"/>
      <c r="Q49" s="187"/>
      <c r="R49" s="67"/>
      <c r="S49" s="75">
        <v>43238.400000000001</v>
      </c>
      <c r="T49" s="51"/>
      <c r="U49" s="51"/>
      <c r="V49" s="51"/>
      <c r="W49" s="77">
        <f t="shared" si="6"/>
        <v>46847.1</v>
      </c>
      <c r="X49" s="77">
        <f t="shared" si="7"/>
        <v>21538.799999999999</v>
      </c>
      <c r="Y49" s="77">
        <f t="shared" si="8"/>
        <v>25308.3</v>
      </c>
      <c r="Z49" s="51"/>
      <c r="AA49" s="51"/>
    </row>
    <row r="50" spans="1:27" ht="18.75" customHeight="1" x14ac:dyDescent="0.25">
      <c r="A50" s="337" t="s">
        <v>61</v>
      </c>
      <c r="B50" s="350" t="s">
        <v>435</v>
      </c>
      <c r="C50" s="344"/>
      <c r="D50" s="350" t="s">
        <v>406</v>
      </c>
      <c r="E50" s="352" t="s">
        <v>400</v>
      </c>
      <c r="F50" s="352">
        <v>44561</v>
      </c>
      <c r="G50" s="352" t="s">
        <v>400</v>
      </c>
      <c r="H50" s="352"/>
      <c r="I50" s="332">
        <v>318666</v>
      </c>
      <c r="J50" s="332">
        <v>318849.09999999998</v>
      </c>
      <c r="K50" s="332">
        <v>316221</v>
      </c>
      <c r="L50" s="332">
        <f>688403.3-J50</f>
        <v>369554.20000000007</v>
      </c>
      <c r="M50" s="374" t="s">
        <v>398</v>
      </c>
      <c r="N50" s="332"/>
      <c r="O50" s="374" t="s">
        <v>399</v>
      </c>
      <c r="P50" s="332"/>
      <c r="Q50" s="350"/>
      <c r="R50" s="67"/>
      <c r="S50" s="75">
        <v>1609712.1</v>
      </c>
      <c r="T50" s="51"/>
      <c r="U50" s="51"/>
      <c r="V50" s="51"/>
      <c r="W50" s="77">
        <f t="shared" si="6"/>
        <v>1695349.1</v>
      </c>
      <c r="X50" s="77">
        <f t="shared" si="7"/>
        <v>688403.3</v>
      </c>
      <c r="Y50" s="77">
        <f t="shared" si="8"/>
        <v>1006945.8</v>
      </c>
      <c r="Z50" s="51"/>
      <c r="AA50" s="51"/>
    </row>
    <row r="51" spans="1:27" ht="350.25" customHeight="1" x14ac:dyDescent="0.25">
      <c r="A51" s="343"/>
      <c r="B51" s="372"/>
      <c r="C51" s="345"/>
      <c r="D51" s="372"/>
      <c r="E51" s="373"/>
      <c r="F51" s="373"/>
      <c r="G51" s="373"/>
      <c r="H51" s="373"/>
      <c r="I51" s="371"/>
      <c r="J51" s="371"/>
      <c r="K51" s="371"/>
      <c r="L51" s="371"/>
      <c r="M51" s="375"/>
      <c r="N51" s="371"/>
      <c r="O51" s="375"/>
      <c r="P51" s="371"/>
      <c r="Q51" s="372"/>
      <c r="R51" s="67"/>
      <c r="S51" s="75"/>
      <c r="T51" s="51"/>
      <c r="U51" s="51"/>
      <c r="V51" s="51"/>
      <c r="W51" s="77">
        <f t="shared" si="6"/>
        <v>0</v>
      </c>
      <c r="X51" s="77">
        <f t="shared" si="7"/>
        <v>0</v>
      </c>
      <c r="Y51" s="77">
        <f t="shared" si="8"/>
        <v>0</v>
      </c>
      <c r="Z51" s="51"/>
      <c r="AA51" s="51"/>
    </row>
    <row r="52" spans="1:27" ht="369" customHeight="1" x14ac:dyDescent="0.25">
      <c r="A52" s="343"/>
      <c r="B52" s="377" t="s">
        <v>434</v>
      </c>
      <c r="C52" s="343"/>
      <c r="D52" s="343"/>
      <c r="E52" s="343"/>
      <c r="F52" s="343"/>
      <c r="G52" s="343"/>
      <c r="H52" s="343"/>
      <c r="I52" s="343"/>
      <c r="J52" s="343"/>
      <c r="K52" s="371"/>
      <c r="L52" s="343"/>
      <c r="M52" s="375"/>
      <c r="N52" s="343"/>
      <c r="O52" s="375"/>
      <c r="P52" s="343"/>
      <c r="Q52" s="343"/>
      <c r="R52" s="67"/>
      <c r="S52" s="75"/>
      <c r="T52" s="51"/>
      <c r="U52" s="51"/>
      <c r="V52" s="51"/>
      <c r="W52" s="77">
        <f t="shared" si="6"/>
        <v>0</v>
      </c>
      <c r="X52" s="77">
        <f t="shared" si="7"/>
        <v>0</v>
      </c>
      <c r="Y52" s="77">
        <f t="shared" si="8"/>
        <v>0</v>
      </c>
      <c r="Z52" s="51"/>
      <c r="AA52" s="51"/>
    </row>
    <row r="53" spans="1:27" ht="408.75" customHeight="1" x14ac:dyDescent="0.25">
      <c r="A53" s="338"/>
      <c r="B53" s="378"/>
      <c r="C53" s="338"/>
      <c r="D53" s="338"/>
      <c r="E53" s="338"/>
      <c r="F53" s="338"/>
      <c r="G53" s="338"/>
      <c r="H53" s="338"/>
      <c r="I53" s="338"/>
      <c r="J53" s="338"/>
      <c r="K53" s="333"/>
      <c r="L53" s="338"/>
      <c r="M53" s="376"/>
      <c r="N53" s="338"/>
      <c r="O53" s="376"/>
      <c r="P53" s="338"/>
      <c r="Q53" s="338"/>
      <c r="R53" s="67"/>
      <c r="S53" s="75"/>
      <c r="T53" s="51"/>
      <c r="U53" s="51"/>
      <c r="V53" s="51"/>
      <c r="W53" s="77">
        <f t="shared" si="6"/>
        <v>0</v>
      </c>
      <c r="X53" s="77">
        <f t="shared" si="7"/>
        <v>0</v>
      </c>
      <c r="Y53" s="77">
        <f t="shared" si="8"/>
        <v>0</v>
      </c>
      <c r="Z53" s="51"/>
      <c r="AA53" s="51"/>
    </row>
    <row r="54" spans="1:27" ht="408.75" customHeight="1" x14ac:dyDescent="0.25">
      <c r="A54" s="337" t="s">
        <v>63</v>
      </c>
      <c r="B54" s="350" t="s">
        <v>376</v>
      </c>
      <c r="C54" s="344"/>
      <c r="D54" s="350" t="s">
        <v>406</v>
      </c>
      <c r="E54" s="352" t="s">
        <v>400</v>
      </c>
      <c r="F54" s="352">
        <v>44561</v>
      </c>
      <c r="G54" s="352" t="s">
        <v>400</v>
      </c>
      <c r="H54" s="352"/>
      <c r="I54" s="332">
        <v>970</v>
      </c>
      <c r="J54" s="332">
        <v>970</v>
      </c>
      <c r="K54" s="332">
        <v>826.1</v>
      </c>
      <c r="L54" s="332">
        <f>2320.5-J54</f>
        <v>1350.5</v>
      </c>
      <c r="M54" s="332">
        <v>1309.4000000000001</v>
      </c>
      <c r="N54" s="332"/>
      <c r="O54" s="332">
        <v>11909.5</v>
      </c>
      <c r="P54" s="332"/>
      <c r="Q54" s="350"/>
      <c r="R54" s="67"/>
      <c r="S54" s="75">
        <v>21402.3</v>
      </c>
      <c r="T54" s="51"/>
      <c r="U54" s="51"/>
      <c r="V54" s="51"/>
      <c r="W54" s="77">
        <f t="shared" si="6"/>
        <v>15015</v>
      </c>
      <c r="X54" s="77">
        <f t="shared" si="7"/>
        <v>2320.5</v>
      </c>
      <c r="Y54" s="77">
        <f t="shared" si="8"/>
        <v>12694.5</v>
      </c>
      <c r="Z54" s="51"/>
      <c r="AA54" s="51"/>
    </row>
    <row r="55" spans="1:27" ht="66" customHeight="1" x14ac:dyDescent="0.25">
      <c r="A55" s="338"/>
      <c r="B55" s="351"/>
      <c r="C55" s="346"/>
      <c r="D55" s="372"/>
      <c r="E55" s="373"/>
      <c r="F55" s="353"/>
      <c r="G55" s="373"/>
      <c r="H55" s="353"/>
      <c r="I55" s="333"/>
      <c r="J55" s="333"/>
      <c r="K55" s="333"/>
      <c r="L55" s="333"/>
      <c r="M55" s="333"/>
      <c r="N55" s="333"/>
      <c r="O55" s="333"/>
      <c r="P55" s="333"/>
      <c r="Q55" s="351"/>
      <c r="R55" s="67"/>
      <c r="S55" s="75"/>
      <c r="T55" s="51"/>
      <c r="U55" s="51"/>
      <c r="V55" s="51"/>
      <c r="W55" s="77">
        <f t="shared" si="6"/>
        <v>0</v>
      </c>
      <c r="X55" s="77">
        <f t="shared" si="7"/>
        <v>0</v>
      </c>
      <c r="Y55" s="77">
        <f t="shared" si="8"/>
        <v>0</v>
      </c>
      <c r="Z55" s="51"/>
      <c r="AA55" s="51"/>
    </row>
    <row r="56" spans="1:27" ht="161.25" customHeight="1" x14ac:dyDescent="0.25">
      <c r="A56" s="337" t="s">
        <v>65</v>
      </c>
      <c r="B56" s="350" t="s">
        <v>66</v>
      </c>
      <c r="C56" s="344"/>
      <c r="D56" s="350" t="s">
        <v>407</v>
      </c>
      <c r="E56" s="352">
        <v>44207</v>
      </c>
      <c r="F56" s="352">
        <v>44561</v>
      </c>
      <c r="G56" s="352">
        <v>44207</v>
      </c>
      <c r="H56" s="352"/>
      <c r="I56" s="332">
        <f t="shared" ref="I56:J56" si="9">I58+I59</f>
        <v>158326.9</v>
      </c>
      <c r="J56" s="332">
        <f t="shared" si="9"/>
        <v>158618.4</v>
      </c>
      <c r="K56" s="332">
        <v>241229.3</v>
      </c>
      <c r="L56" s="332">
        <f>L58+L59</f>
        <v>291439.8</v>
      </c>
      <c r="M56" s="333">
        <v>492054.3</v>
      </c>
      <c r="N56" s="332"/>
      <c r="O56" s="333">
        <v>1068757</v>
      </c>
      <c r="P56" s="332"/>
      <c r="Q56" s="350"/>
      <c r="R56" s="67"/>
      <c r="S56" s="75">
        <v>768031.6</v>
      </c>
      <c r="T56" s="51"/>
      <c r="U56" s="51"/>
      <c r="V56" s="51"/>
      <c r="W56" s="77">
        <f t="shared" si="6"/>
        <v>1960367.5</v>
      </c>
      <c r="X56" s="77">
        <f t="shared" si="7"/>
        <v>450058.19999999995</v>
      </c>
      <c r="Y56" s="77">
        <f t="shared" si="8"/>
        <v>1510309.3</v>
      </c>
      <c r="Z56" s="51"/>
      <c r="AA56" s="51"/>
    </row>
    <row r="57" spans="1:27" ht="18.75" customHeight="1" x14ac:dyDescent="0.25">
      <c r="A57" s="338"/>
      <c r="B57" s="351"/>
      <c r="C57" s="346"/>
      <c r="D57" s="351"/>
      <c r="E57" s="353"/>
      <c r="F57" s="353"/>
      <c r="G57" s="353"/>
      <c r="H57" s="353"/>
      <c r="I57" s="333"/>
      <c r="J57" s="333"/>
      <c r="K57" s="333"/>
      <c r="L57" s="333"/>
      <c r="M57" s="333"/>
      <c r="N57" s="333"/>
      <c r="O57" s="333"/>
      <c r="P57" s="333"/>
      <c r="Q57" s="351"/>
      <c r="R57" s="67"/>
      <c r="S57" s="75"/>
      <c r="T57" s="51"/>
      <c r="U57" s="51"/>
      <c r="V57" s="51"/>
      <c r="W57" s="77">
        <f t="shared" si="6"/>
        <v>0</v>
      </c>
      <c r="X57" s="77">
        <f t="shared" si="7"/>
        <v>0</v>
      </c>
      <c r="Y57" s="77">
        <f t="shared" si="8"/>
        <v>0</v>
      </c>
      <c r="Z57" s="51"/>
      <c r="AA57" s="51"/>
    </row>
    <row r="58" spans="1:27" ht="181.5" customHeight="1" x14ac:dyDescent="0.25">
      <c r="A58" s="171" t="s">
        <v>235</v>
      </c>
      <c r="B58" s="177" t="s">
        <v>323</v>
      </c>
      <c r="C58" s="168"/>
      <c r="D58" s="177" t="s">
        <v>408</v>
      </c>
      <c r="E58" s="179">
        <v>44207</v>
      </c>
      <c r="F58" s="179">
        <v>44561</v>
      </c>
      <c r="G58" s="179">
        <v>44207</v>
      </c>
      <c r="H58" s="179"/>
      <c r="I58" s="220">
        <v>158326.9</v>
      </c>
      <c r="J58" s="220">
        <v>158618.4</v>
      </c>
      <c r="K58" s="228">
        <v>178006</v>
      </c>
      <c r="L58" s="240">
        <f>349912.3-J58</f>
        <v>191293.9</v>
      </c>
      <c r="M58" s="227">
        <v>197994</v>
      </c>
      <c r="N58" s="228"/>
      <c r="O58" s="227">
        <v>257648.8</v>
      </c>
      <c r="P58" s="228"/>
      <c r="Q58" s="177"/>
      <c r="R58" s="67"/>
      <c r="S58" s="75"/>
      <c r="T58" s="51"/>
      <c r="U58" s="51"/>
      <c r="V58" s="51"/>
      <c r="W58" s="77"/>
      <c r="X58" s="77"/>
      <c r="Y58" s="77"/>
      <c r="Z58" s="51"/>
      <c r="AA58" s="51"/>
    </row>
    <row r="59" spans="1:27" ht="192" customHeight="1" x14ac:dyDescent="0.25">
      <c r="A59" s="171" t="s">
        <v>236</v>
      </c>
      <c r="B59" s="177" t="s">
        <v>324</v>
      </c>
      <c r="C59" s="168"/>
      <c r="D59" s="177" t="s">
        <v>409</v>
      </c>
      <c r="E59" s="179">
        <v>44287</v>
      </c>
      <c r="F59" s="179">
        <v>44561</v>
      </c>
      <c r="G59" s="179">
        <v>44287</v>
      </c>
      <c r="H59" s="179"/>
      <c r="I59" s="220">
        <v>0</v>
      </c>
      <c r="J59" s="220">
        <v>0</v>
      </c>
      <c r="K59" s="228">
        <v>63223.3</v>
      </c>
      <c r="L59" s="240">
        <v>100145.9</v>
      </c>
      <c r="M59" s="260">
        <v>294060.3</v>
      </c>
      <c r="N59" s="260"/>
      <c r="O59" s="260">
        <v>811108.2</v>
      </c>
      <c r="P59" s="228"/>
      <c r="Q59" s="177"/>
      <c r="R59" s="67"/>
      <c r="S59" s="75"/>
      <c r="T59" s="51"/>
      <c r="U59" s="51"/>
      <c r="V59" s="51"/>
      <c r="W59" s="77"/>
      <c r="X59" s="77"/>
      <c r="Y59" s="77"/>
      <c r="Z59" s="51"/>
      <c r="AA59" s="51"/>
    </row>
    <row r="60" spans="1:27" ht="65.25" customHeight="1" x14ac:dyDescent="0.25">
      <c r="A60" s="146" t="s">
        <v>257</v>
      </c>
      <c r="B60" s="262" t="s">
        <v>258</v>
      </c>
      <c r="C60" s="147"/>
      <c r="D60" s="262"/>
      <c r="E60" s="261"/>
      <c r="F60" s="261"/>
      <c r="G60" s="261"/>
      <c r="H60" s="261"/>
      <c r="I60" s="260"/>
      <c r="J60" s="260"/>
      <c r="K60" s="260"/>
      <c r="L60" s="260"/>
      <c r="M60" s="260"/>
      <c r="N60" s="260"/>
      <c r="O60" s="260"/>
      <c r="P60" s="260"/>
      <c r="Q60" s="262"/>
      <c r="R60" s="67"/>
      <c r="S60" s="75"/>
      <c r="T60" s="51"/>
      <c r="U60" s="51"/>
      <c r="V60" s="51"/>
      <c r="W60" s="77"/>
      <c r="X60" s="77"/>
      <c r="Y60" s="77"/>
      <c r="Z60" s="51"/>
      <c r="AA60" s="51"/>
    </row>
    <row r="61" spans="1:27" ht="288.75" customHeight="1" x14ac:dyDescent="0.25">
      <c r="A61" s="337" t="s">
        <v>237</v>
      </c>
      <c r="B61" s="350" t="s">
        <v>325</v>
      </c>
      <c r="C61" s="344"/>
      <c r="D61" s="350" t="s">
        <v>410</v>
      </c>
      <c r="E61" s="334" t="s">
        <v>278</v>
      </c>
      <c r="F61" s="334" t="s">
        <v>253</v>
      </c>
      <c r="G61" s="334"/>
      <c r="H61" s="352"/>
      <c r="I61" s="332">
        <v>0</v>
      </c>
      <c r="J61" s="332">
        <v>0</v>
      </c>
      <c r="K61" s="332">
        <v>23654.400000000001</v>
      </c>
      <c r="L61" s="332">
        <v>23654.400000000001</v>
      </c>
      <c r="M61" s="332">
        <v>15166.8</v>
      </c>
      <c r="N61" s="332"/>
      <c r="O61" s="332">
        <v>7053.5</v>
      </c>
      <c r="P61" s="332"/>
      <c r="Q61" s="350"/>
      <c r="R61" s="67"/>
      <c r="S61" s="75">
        <v>47257.4</v>
      </c>
      <c r="T61" s="51"/>
      <c r="U61" s="51"/>
      <c r="V61" s="51"/>
      <c r="W61" s="77">
        <f t="shared" ref="W61:X64" si="10">I61+K61+M61+O61</f>
        <v>45874.7</v>
      </c>
      <c r="X61" s="77">
        <f t="shared" si="10"/>
        <v>23654.400000000001</v>
      </c>
      <c r="Y61" s="77">
        <f>W61-X61</f>
        <v>22220.299999999996</v>
      </c>
      <c r="Z61" s="51"/>
      <c r="AA61" s="51"/>
    </row>
    <row r="62" spans="1:27" ht="27" customHeight="1" x14ac:dyDescent="0.25">
      <c r="A62" s="338"/>
      <c r="B62" s="351"/>
      <c r="C62" s="346"/>
      <c r="D62" s="351"/>
      <c r="E62" s="335"/>
      <c r="F62" s="335"/>
      <c r="G62" s="335"/>
      <c r="H62" s="353"/>
      <c r="I62" s="333"/>
      <c r="J62" s="333"/>
      <c r="K62" s="333"/>
      <c r="L62" s="333"/>
      <c r="M62" s="333"/>
      <c r="N62" s="333"/>
      <c r="O62" s="333"/>
      <c r="P62" s="333"/>
      <c r="Q62" s="351"/>
      <c r="R62" s="67"/>
      <c r="S62" s="75"/>
      <c r="T62" s="51"/>
      <c r="U62" s="51"/>
      <c r="V62" s="51"/>
      <c r="W62" s="77">
        <f t="shared" si="10"/>
        <v>0</v>
      </c>
      <c r="X62" s="77">
        <f t="shared" si="10"/>
        <v>0</v>
      </c>
      <c r="Y62" s="77">
        <f>W62-X62</f>
        <v>0</v>
      </c>
      <c r="Z62" s="51"/>
      <c r="AA62" s="51"/>
    </row>
    <row r="63" spans="1:27" ht="338.25" customHeight="1" x14ac:dyDescent="0.25">
      <c r="A63" s="337" t="s">
        <v>67</v>
      </c>
      <c r="B63" s="350" t="s">
        <v>375</v>
      </c>
      <c r="C63" s="344"/>
      <c r="D63" s="350" t="s">
        <v>410</v>
      </c>
      <c r="E63" s="352">
        <v>44287</v>
      </c>
      <c r="F63" s="352">
        <v>44561</v>
      </c>
      <c r="G63" s="334"/>
      <c r="H63" s="352"/>
      <c r="I63" s="332">
        <v>0</v>
      </c>
      <c r="J63" s="332">
        <v>0</v>
      </c>
      <c r="K63" s="332">
        <v>1693.4</v>
      </c>
      <c r="L63" s="332">
        <v>1693.4</v>
      </c>
      <c r="M63" s="333">
        <v>8426</v>
      </c>
      <c r="N63" s="332"/>
      <c r="O63" s="333">
        <v>47242.1</v>
      </c>
      <c r="P63" s="332"/>
      <c r="Q63" s="350"/>
      <c r="R63" s="67"/>
      <c r="S63" s="75">
        <v>42631.6</v>
      </c>
      <c r="T63" s="51"/>
      <c r="U63" s="51"/>
      <c r="V63" s="51"/>
      <c r="W63" s="77">
        <f t="shared" si="10"/>
        <v>57361.5</v>
      </c>
      <c r="X63" s="77">
        <f t="shared" si="10"/>
        <v>1693.4</v>
      </c>
      <c r="Y63" s="77">
        <f>W63-X63</f>
        <v>55668.1</v>
      </c>
      <c r="Z63" s="51"/>
      <c r="AA63" s="51"/>
    </row>
    <row r="64" spans="1:27" ht="18.75" customHeight="1" x14ac:dyDescent="0.25">
      <c r="A64" s="338"/>
      <c r="B64" s="351"/>
      <c r="C64" s="346"/>
      <c r="D64" s="351"/>
      <c r="E64" s="335"/>
      <c r="F64" s="335"/>
      <c r="G64" s="335"/>
      <c r="H64" s="353"/>
      <c r="I64" s="333"/>
      <c r="J64" s="333"/>
      <c r="K64" s="333"/>
      <c r="L64" s="333"/>
      <c r="M64" s="336"/>
      <c r="N64" s="333"/>
      <c r="O64" s="336"/>
      <c r="P64" s="333"/>
      <c r="Q64" s="351"/>
      <c r="R64" s="67"/>
      <c r="S64" s="75"/>
      <c r="T64" s="51"/>
      <c r="U64" s="51"/>
      <c r="V64" s="51"/>
      <c r="W64" s="77">
        <f t="shared" si="10"/>
        <v>0</v>
      </c>
      <c r="X64" s="77">
        <f t="shared" si="10"/>
        <v>0</v>
      </c>
      <c r="Y64" s="77">
        <f>W64-X64</f>
        <v>0</v>
      </c>
      <c r="Z64" s="51"/>
      <c r="AA64" s="51"/>
    </row>
    <row r="65" spans="1:27" ht="356.25" x14ac:dyDescent="0.25">
      <c r="A65" s="171" t="s">
        <v>68</v>
      </c>
      <c r="B65" s="177" t="s">
        <v>374</v>
      </c>
      <c r="C65" s="168"/>
      <c r="D65" s="177" t="s">
        <v>410</v>
      </c>
      <c r="E65" s="179">
        <v>44287</v>
      </c>
      <c r="F65" s="179">
        <v>44561</v>
      </c>
      <c r="G65" s="179"/>
      <c r="H65" s="181"/>
      <c r="I65" s="220">
        <v>0</v>
      </c>
      <c r="J65" s="220">
        <v>0</v>
      </c>
      <c r="K65" s="228">
        <v>27941.200000000001</v>
      </c>
      <c r="L65" s="240">
        <v>27941.200000000001</v>
      </c>
      <c r="M65" s="229">
        <v>3373.3</v>
      </c>
      <c r="N65" s="228"/>
      <c r="O65" s="229">
        <v>3373.3</v>
      </c>
      <c r="P65" s="228"/>
      <c r="Q65" s="177"/>
      <c r="R65" s="67"/>
      <c r="S65" s="75"/>
      <c r="T65" s="51"/>
      <c r="U65" s="51"/>
      <c r="V65" s="51"/>
      <c r="W65" s="77"/>
      <c r="X65" s="77"/>
      <c r="Y65" s="77"/>
      <c r="Z65" s="51"/>
      <c r="AA65" s="51"/>
    </row>
    <row r="66" spans="1:27" ht="56.25" customHeight="1" x14ac:dyDescent="0.25">
      <c r="A66" s="146" t="s">
        <v>259</v>
      </c>
      <c r="B66" s="262" t="s">
        <v>260</v>
      </c>
      <c r="C66" s="147"/>
      <c r="D66" s="262"/>
      <c r="E66" s="261"/>
      <c r="F66" s="261"/>
      <c r="G66" s="261"/>
      <c r="H66" s="148"/>
      <c r="I66" s="260"/>
      <c r="J66" s="260"/>
      <c r="K66" s="260"/>
      <c r="L66" s="260"/>
      <c r="M66" s="260"/>
      <c r="N66" s="260"/>
      <c r="O66" s="260"/>
      <c r="P66" s="260"/>
      <c r="Q66" s="262"/>
      <c r="R66" s="67"/>
      <c r="S66" s="75"/>
      <c r="T66" s="51"/>
      <c r="U66" s="51"/>
      <c r="V66" s="51"/>
      <c r="W66" s="77"/>
      <c r="X66" s="77"/>
      <c r="Y66" s="77"/>
      <c r="Z66" s="51"/>
      <c r="AA66" s="51"/>
    </row>
    <row r="67" spans="1:27" ht="394.5" customHeight="1" x14ac:dyDescent="0.25">
      <c r="A67" s="171" t="s">
        <v>228</v>
      </c>
      <c r="B67" s="187" t="s">
        <v>373</v>
      </c>
      <c r="C67" s="147"/>
      <c r="D67" s="258" t="s">
        <v>404</v>
      </c>
      <c r="E67" s="185">
        <v>44207</v>
      </c>
      <c r="F67" s="185">
        <v>44561</v>
      </c>
      <c r="G67" s="257">
        <v>44207</v>
      </c>
      <c r="H67" s="148"/>
      <c r="I67" s="221">
        <v>2733.8</v>
      </c>
      <c r="J67" s="221">
        <v>2763.8</v>
      </c>
      <c r="K67" s="229">
        <v>2509</v>
      </c>
      <c r="L67" s="237">
        <f>5588.4-J67</f>
        <v>2824.5999999999995</v>
      </c>
      <c r="M67" s="229">
        <v>14340</v>
      </c>
      <c r="N67" s="229"/>
      <c r="O67" s="229">
        <v>37777.199999999997</v>
      </c>
      <c r="P67" s="229"/>
      <c r="Q67" s="187"/>
      <c r="R67" s="67"/>
      <c r="S67" s="75"/>
      <c r="T67" s="51"/>
      <c r="U67" s="51"/>
      <c r="V67" s="51"/>
      <c r="W67" s="77"/>
      <c r="X67" s="77"/>
      <c r="Y67" s="77"/>
      <c r="Z67" s="51"/>
      <c r="AA67" s="51"/>
    </row>
    <row r="68" spans="1:27" ht="384" customHeight="1" x14ac:dyDescent="0.25">
      <c r="A68" s="171"/>
      <c r="B68" s="187" t="s">
        <v>261</v>
      </c>
      <c r="C68" s="147"/>
      <c r="D68" s="187" t="s">
        <v>262</v>
      </c>
      <c r="E68" s="185"/>
      <c r="F68" s="185">
        <v>44561</v>
      </c>
      <c r="G68" s="185"/>
      <c r="H68" s="148"/>
      <c r="I68" s="221"/>
      <c r="J68" s="221"/>
      <c r="K68" s="229"/>
      <c r="L68" s="237"/>
      <c r="M68" s="144"/>
      <c r="N68" s="229"/>
      <c r="O68" s="144"/>
      <c r="P68" s="229"/>
      <c r="Q68" s="187"/>
      <c r="R68" s="67"/>
      <c r="S68" s="75"/>
      <c r="T68" s="51"/>
      <c r="U68" s="51"/>
      <c r="V68" s="51"/>
      <c r="W68" s="77"/>
      <c r="X68" s="77"/>
      <c r="Y68" s="77"/>
      <c r="Z68" s="51"/>
      <c r="AA68" s="51"/>
    </row>
    <row r="69" spans="1:27" ht="384" customHeight="1" x14ac:dyDescent="0.25">
      <c r="A69" s="171"/>
      <c r="B69" s="187" t="s">
        <v>207</v>
      </c>
      <c r="C69" s="147"/>
      <c r="D69" s="187" t="s">
        <v>411</v>
      </c>
      <c r="E69" s="185"/>
      <c r="F69" s="185">
        <v>44561</v>
      </c>
      <c r="G69" s="185"/>
      <c r="H69" s="148"/>
      <c r="I69" s="221"/>
      <c r="J69" s="221"/>
      <c r="K69" s="229"/>
      <c r="L69" s="237"/>
      <c r="M69" s="229"/>
      <c r="N69" s="229"/>
      <c r="O69" s="229"/>
      <c r="P69" s="229"/>
      <c r="Q69" s="187"/>
      <c r="R69" s="67"/>
      <c r="S69" s="75"/>
      <c r="T69" s="51"/>
      <c r="U69" s="51"/>
      <c r="V69" s="51"/>
      <c r="W69" s="77"/>
      <c r="X69" s="77"/>
      <c r="Y69" s="77"/>
      <c r="Z69" s="51"/>
      <c r="AA69" s="51"/>
    </row>
    <row r="70" spans="1:27" ht="20.25" customHeight="1" x14ac:dyDescent="0.25">
      <c r="A70" s="91" t="s">
        <v>71</v>
      </c>
      <c r="B70" s="379" t="s">
        <v>208</v>
      </c>
      <c r="C70" s="379"/>
      <c r="D70" s="379"/>
      <c r="E70" s="379"/>
      <c r="F70" s="379"/>
      <c r="G70" s="379"/>
      <c r="H70" s="379"/>
      <c r="I70" s="144">
        <f t="shared" ref="I70:P70" si="11">I71+I75+I82+I84+I86+I87+I88+I90+I85+I93+I91</f>
        <v>2257820.5</v>
      </c>
      <c r="J70" s="144">
        <f t="shared" si="11"/>
        <v>2260642.7999999998</v>
      </c>
      <c r="K70" s="144">
        <f>K71+K75+K82+K84+K86+K87+K88+K90+K85+K93+K91-0.1</f>
        <v>3289929.6</v>
      </c>
      <c r="L70" s="144">
        <f t="shared" si="11"/>
        <v>3329683.3</v>
      </c>
      <c r="M70" s="144">
        <f t="shared" si="11"/>
        <v>3013037.6</v>
      </c>
      <c r="N70" s="144">
        <f t="shared" si="11"/>
        <v>0</v>
      </c>
      <c r="O70" s="144">
        <f t="shared" si="11"/>
        <v>3603977.3</v>
      </c>
      <c r="P70" s="144">
        <f t="shared" si="11"/>
        <v>0</v>
      </c>
      <c r="Q70" s="260"/>
      <c r="R70" s="67"/>
      <c r="S70" s="123">
        <f>I70+K70+M70+O70</f>
        <v>12164765</v>
      </c>
      <c r="T70" s="122">
        <f>J70+L70+N70+P70</f>
        <v>5590326.0999999996</v>
      </c>
      <c r="U70" s="51"/>
      <c r="V70" s="51"/>
      <c r="W70" s="77">
        <f t="shared" ref="W70:X73" si="12">I70+K70+M70+O70</f>
        <v>12164765</v>
      </c>
      <c r="X70" s="77">
        <f t="shared" si="12"/>
        <v>5590326.0999999996</v>
      </c>
      <c r="Y70" s="77">
        <f>W70-X70</f>
        <v>6574438.9000000004</v>
      </c>
      <c r="Z70" s="51"/>
      <c r="AA70" s="51"/>
    </row>
    <row r="71" spans="1:27" ht="378.75" customHeight="1" x14ac:dyDescent="0.25">
      <c r="A71" s="146" t="s">
        <v>73</v>
      </c>
      <c r="B71" s="187" t="s">
        <v>74</v>
      </c>
      <c r="C71" s="147"/>
      <c r="D71" s="187" t="s">
        <v>412</v>
      </c>
      <c r="E71" s="185"/>
      <c r="F71" s="185"/>
      <c r="G71" s="185"/>
      <c r="H71" s="185"/>
      <c r="I71" s="221">
        <v>1471.1</v>
      </c>
      <c r="J71" s="221">
        <v>1457.6</v>
      </c>
      <c r="K71" s="229">
        <v>2697.5</v>
      </c>
      <c r="L71" s="237">
        <f>4369.2-J71</f>
        <v>2911.6</v>
      </c>
      <c r="M71" s="229">
        <v>2131.3000000000002</v>
      </c>
      <c r="N71" s="229"/>
      <c r="O71" s="229">
        <v>6160.8</v>
      </c>
      <c r="P71" s="229"/>
      <c r="Q71" s="187"/>
      <c r="R71" s="67"/>
      <c r="S71" s="75"/>
      <c r="T71" s="51"/>
      <c r="U71" s="51"/>
      <c r="V71" s="51"/>
      <c r="W71" s="77">
        <f t="shared" si="12"/>
        <v>12460.7</v>
      </c>
      <c r="X71" s="77">
        <f t="shared" si="12"/>
        <v>4369.2</v>
      </c>
      <c r="Y71" s="77">
        <f>W71-X71</f>
        <v>8091.5000000000009</v>
      </c>
      <c r="Z71" s="51"/>
      <c r="AA71" s="51"/>
    </row>
    <row r="72" spans="1:27" ht="29.25" customHeight="1" x14ac:dyDescent="0.25">
      <c r="A72" s="146" t="s">
        <v>26</v>
      </c>
      <c r="B72" s="187" t="s">
        <v>75</v>
      </c>
      <c r="C72" s="147"/>
      <c r="D72" s="147" t="s">
        <v>24</v>
      </c>
      <c r="E72" s="185">
        <v>44207</v>
      </c>
      <c r="F72" s="185">
        <v>44561</v>
      </c>
      <c r="G72" s="185">
        <v>44207</v>
      </c>
      <c r="H72" s="185"/>
      <c r="I72" s="221">
        <v>360.8</v>
      </c>
      <c r="J72" s="221">
        <v>347.3</v>
      </c>
      <c r="K72" s="229">
        <v>846.1</v>
      </c>
      <c r="L72" s="237">
        <f>1431.8-J72</f>
        <v>1084.5</v>
      </c>
      <c r="M72" s="229">
        <v>1590.9</v>
      </c>
      <c r="N72" s="229"/>
      <c r="O72" s="229">
        <v>4510.2</v>
      </c>
      <c r="P72" s="229"/>
      <c r="Q72" s="187"/>
      <c r="R72" s="67"/>
      <c r="S72" s="75">
        <v>10243.9</v>
      </c>
      <c r="T72" s="51"/>
      <c r="U72" s="51"/>
      <c r="V72" s="51"/>
      <c r="W72" s="77">
        <f t="shared" si="12"/>
        <v>7308</v>
      </c>
      <c r="X72" s="77">
        <f t="shared" si="12"/>
        <v>1431.8</v>
      </c>
      <c r="Y72" s="77">
        <f>W72-X72</f>
        <v>5876.2</v>
      </c>
      <c r="Z72" s="51"/>
      <c r="AA72" s="51"/>
    </row>
    <row r="73" spans="1:27" ht="81.75" customHeight="1" x14ac:dyDescent="0.25">
      <c r="A73" s="146" t="s">
        <v>32</v>
      </c>
      <c r="B73" s="177" t="s">
        <v>77</v>
      </c>
      <c r="C73" s="168"/>
      <c r="D73" s="147" t="s">
        <v>24</v>
      </c>
      <c r="E73" s="185">
        <v>44207</v>
      </c>
      <c r="F73" s="185">
        <v>44561</v>
      </c>
      <c r="G73" s="185">
        <v>43839</v>
      </c>
      <c r="H73" s="185"/>
      <c r="I73" s="221">
        <v>1110.3</v>
      </c>
      <c r="J73" s="221">
        <v>1110.3</v>
      </c>
      <c r="K73" s="229">
        <v>1110.3</v>
      </c>
      <c r="L73" s="237">
        <f>2937.4-J73</f>
        <v>1827.1000000000001</v>
      </c>
      <c r="M73" s="227">
        <v>540.4</v>
      </c>
      <c r="N73" s="229"/>
      <c r="O73" s="232">
        <v>1650.6</v>
      </c>
      <c r="P73" s="229"/>
      <c r="Q73" s="187"/>
      <c r="R73" s="67"/>
      <c r="S73" s="75">
        <v>9962.2000000000007</v>
      </c>
      <c r="T73" s="51"/>
      <c r="U73" s="51"/>
      <c r="V73" s="51"/>
      <c r="W73" s="77">
        <f t="shared" si="12"/>
        <v>4411.6000000000004</v>
      </c>
      <c r="X73" s="77">
        <f t="shared" si="12"/>
        <v>2937.4</v>
      </c>
      <c r="Y73" s="77">
        <f>W73-X73</f>
        <v>1474.2000000000003</v>
      </c>
      <c r="Z73" s="51"/>
      <c r="AA73" s="51"/>
    </row>
    <row r="74" spans="1:27" ht="168" customHeight="1" x14ac:dyDescent="0.25">
      <c r="A74" s="146" t="s">
        <v>263</v>
      </c>
      <c r="B74" s="187" t="s">
        <v>264</v>
      </c>
      <c r="C74" s="147"/>
      <c r="D74" s="147"/>
      <c r="E74" s="185"/>
      <c r="F74" s="185"/>
      <c r="G74" s="185"/>
      <c r="H74" s="185"/>
      <c r="I74" s="221"/>
      <c r="J74" s="221"/>
      <c r="K74" s="229"/>
      <c r="L74" s="237"/>
      <c r="M74" s="229"/>
      <c r="N74" s="229"/>
      <c r="O74" s="229"/>
      <c r="P74" s="229"/>
      <c r="Q74" s="187"/>
      <c r="R74" s="67"/>
      <c r="S74" s="75"/>
      <c r="T74" s="51"/>
      <c r="U74" s="51"/>
      <c r="V74" s="51"/>
      <c r="W74" s="77"/>
      <c r="X74" s="77"/>
      <c r="Y74" s="77"/>
      <c r="Z74" s="51"/>
      <c r="AA74" s="51"/>
    </row>
    <row r="75" spans="1:27" ht="408.75" customHeight="1" x14ac:dyDescent="0.25">
      <c r="A75" s="170" t="s">
        <v>78</v>
      </c>
      <c r="B75" s="182" t="s">
        <v>209</v>
      </c>
      <c r="C75" s="167"/>
      <c r="D75" s="182" t="s">
        <v>413</v>
      </c>
      <c r="E75" s="179">
        <v>44207</v>
      </c>
      <c r="F75" s="179">
        <v>44561</v>
      </c>
      <c r="G75" s="179">
        <v>44207</v>
      </c>
      <c r="H75" s="183"/>
      <c r="I75" s="219">
        <v>2251924.4</v>
      </c>
      <c r="J75" s="219">
        <v>2254760.2999999998</v>
      </c>
      <c r="K75" s="227">
        <v>3268721.1</v>
      </c>
      <c r="L75" s="239">
        <f>5562988.6-J75</f>
        <v>3308228.3</v>
      </c>
      <c r="M75" s="226">
        <v>3002196.2</v>
      </c>
      <c r="N75" s="228"/>
      <c r="O75" s="87">
        <v>3544113.6</v>
      </c>
      <c r="P75" s="227"/>
      <c r="Q75" s="182"/>
      <c r="R75" s="67"/>
      <c r="S75" s="75"/>
      <c r="T75" s="51"/>
      <c r="U75" s="51"/>
      <c r="V75" s="51"/>
      <c r="W75" s="77">
        <f t="shared" ref="W75:X80" si="13">I75+K75+M75+O75</f>
        <v>12066955.299999999</v>
      </c>
      <c r="X75" s="77">
        <f t="shared" si="13"/>
        <v>5562988.5999999996</v>
      </c>
      <c r="Y75" s="77">
        <f t="shared" ref="Y75:Y80" si="14">W75-X75</f>
        <v>6503966.6999999993</v>
      </c>
      <c r="Z75" s="51"/>
      <c r="AA75" s="51"/>
    </row>
    <row r="76" spans="1:27" ht="27.75" customHeight="1" x14ac:dyDescent="0.25">
      <c r="A76" s="146" t="s">
        <v>80</v>
      </c>
      <c r="B76" s="187" t="s">
        <v>81</v>
      </c>
      <c r="C76" s="147"/>
      <c r="D76" s="147" t="s">
        <v>24</v>
      </c>
      <c r="E76" s="185">
        <v>44207</v>
      </c>
      <c r="F76" s="185">
        <v>44561</v>
      </c>
      <c r="G76" s="185">
        <v>44207</v>
      </c>
      <c r="H76" s="185"/>
      <c r="I76" s="221">
        <v>146025.1</v>
      </c>
      <c r="J76" s="221">
        <v>148861</v>
      </c>
      <c r="K76" s="229">
        <v>357942.7</v>
      </c>
      <c r="L76" s="237">
        <f>542572.8-J76</f>
        <v>393711.80000000005</v>
      </c>
      <c r="M76" s="226">
        <v>417770</v>
      </c>
      <c r="N76" s="229"/>
      <c r="O76" s="87">
        <v>763559.5</v>
      </c>
      <c r="P76" s="229"/>
      <c r="Q76" s="187"/>
      <c r="R76" s="67"/>
      <c r="S76" s="75">
        <v>738206.8</v>
      </c>
      <c r="T76" s="51"/>
      <c r="U76" s="51"/>
      <c r="V76" s="51"/>
      <c r="W76" s="77">
        <f t="shared" si="13"/>
        <v>1685297.3</v>
      </c>
      <c r="X76" s="77">
        <f t="shared" si="13"/>
        <v>542572.80000000005</v>
      </c>
      <c r="Y76" s="77">
        <f t="shared" si="14"/>
        <v>1142724.5</v>
      </c>
      <c r="Z76" s="51"/>
      <c r="AA76" s="51"/>
    </row>
    <row r="77" spans="1:27" ht="79.5" customHeight="1" x14ac:dyDescent="0.25">
      <c r="A77" s="146" t="s">
        <v>83</v>
      </c>
      <c r="B77" s="176" t="s">
        <v>84</v>
      </c>
      <c r="C77" s="166"/>
      <c r="D77" s="166" t="s">
        <v>24</v>
      </c>
      <c r="E77" s="185">
        <v>44207</v>
      </c>
      <c r="F77" s="185">
        <v>44561</v>
      </c>
      <c r="G77" s="185">
        <v>44207</v>
      </c>
      <c r="H77" s="178"/>
      <c r="I77" s="218">
        <v>2105899.2999999998</v>
      </c>
      <c r="J77" s="218">
        <v>2105899.2999999998</v>
      </c>
      <c r="K77" s="226">
        <v>2910778.4</v>
      </c>
      <c r="L77" s="238">
        <f>5020415.8-J77</f>
        <v>2914516.5</v>
      </c>
      <c r="M77" s="229">
        <v>2584426.2000000002</v>
      </c>
      <c r="N77" s="229"/>
      <c r="O77" s="229">
        <v>2780554.1</v>
      </c>
      <c r="P77" s="229"/>
      <c r="Q77" s="187"/>
      <c r="R77" s="67"/>
      <c r="S77" s="75"/>
      <c r="T77" s="51"/>
      <c r="U77" s="51"/>
      <c r="V77" s="51"/>
      <c r="W77" s="77">
        <f t="shared" si="13"/>
        <v>10381658</v>
      </c>
      <c r="X77" s="77">
        <f t="shared" si="13"/>
        <v>5020415.8</v>
      </c>
      <c r="Y77" s="77">
        <f t="shared" si="14"/>
        <v>5361242.2</v>
      </c>
      <c r="Z77" s="51"/>
      <c r="AA77" s="51"/>
    </row>
    <row r="78" spans="1:27" ht="60" customHeight="1" x14ac:dyDescent="0.25">
      <c r="A78" s="93" t="s">
        <v>85</v>
      </c>
      <c r="B78" s="176" t="s">
        <v>86</v>
      </c>
      <c r="C78" s="166"/>
      <c r="D78" s="166" t="s">
        <v>24</v>
      </c>
      <c r="E78" s="185">
        <v>44207</v>
      </c>
      <c r="F78" s="185">
        <v>44561</v>
      </c>
      <c r="G78" s="185">
        <v>44207</v>
      </c>
      <c r="H78" s="178"/>
      <c r="I78" s="218">
        <v>2093293</v>
      </c>
      <c r="J78" s="218">
        <v>2093293</v>
      </c>
      <c r="K78" s="226">
        <v>2870932.6</v>
      </c>
      <c r="L78" s="238">
        <f>4964225.6-J78</f>
        <v>2870932.5999999996</v>
      </c>
      <c r="M78" s="229">
        <v>2530700.9</v>
      </c>
      <c r="N78" s="226"/>
      <c r="O78" s="229">
        <v>2766531.5</v>
      </c>
      <c r="P78" s="226"/>
      <c r="Q78" s="176"/>
      <c r="R78" s="67"/>
      <c r="S78" s="75">
        <v>9704310.5</v>
      </c>
      <c r="T78" s="51"/>
      <c r="U78" s="51"/>
      <c r="V78" s="51"/>
      <c r="W78" s="77">
        <f t="shared" si="13"/>
        <v>10261458</v>
      </c>
      <c r="X78" s="77">
        <f t="shared" si="13"/>
        <v>4964225.5999999996</v>
      </c>
      <c r="Y78" s="77">
        <f t="shared" si="14"/>
        <v>5297232.4000000004</v>
      </c>
      <c r="Z78" s="51"/>
      <c r="AA78" s="51"/>
    </row>
    <row r="79" spans="1:27" ht="37.5" x14ac:dyDescent="0.25">
      <c r="A79" s="94" t="s">
        <v>87</v>
      </c>
      <c r="B79" s="262" t="s">
        <v>88</v>
      </c>
      <c r="C79" s="147"/>
      <c r="D79" s="147" t="s">
        <v>24</v>
      </c>
      <c r="E79" s="261">
        <v>44207</v>
      </c>
      <c r="F79" s="261">
        <v>44561</v>
      </c>
      <c r="G79" s="261">
        <v>44207</v>
      </c>
      <c r="H79" s="261"/>
      <c r="I79" s="260">
        <v>4717.5</v>
      </c>
      <c r="J79" s="260">
        <v>4717.5</v>
      </c>
      <c r="K79" s="260">
        <v>34517.1</v>
      </c>
      <c r="L79" s="260">
        <f>42972.7-J79</f>
        <v>38255.199999999997</v>
      </c>
      <c r="M79" s="260">
        <v>47334.2</v>
      </c>
      <c r="N79" s="260"/>
      <c r="O79" s="260">
        <v>8085.5</v>
      </c>
      <c r="P79" s="260"/>
      <c r="Q79" s="262"/>
      <c r="R79" s="67"/>
      <c r="S79" s="75">
        <v>137394</v>
      </c>
      <c r="T79" s="51"/>
      <c r="U79" s="51"/>
      <c r="V79" s="51"/>
      <c r="W79" s="77">
        <f t="shared" si="13"/>
        <v>94654.299999999988</v>
      </c>
      <c r="X79" s="77">
        <f t="shared" si="13"/>
        <v>42972.7</v>
      </c>
      <c r="Y79" s="77">
        <f t="shared" si="14"/>
        <v>51681.599999999991</v>
      </c>
      <c r="Z79" s="51"/>
      <c r="AA79" s="51"/>
    </row>
    <row r="80" spans="1:27" ht="258.75" customHeight="1" x14ac:dyDescent="0.25">
      <c r="A80" s="94" t="s">
        <v>89</v>
      </c>
      <c r="B80" s="187" t="s">
        <v>330</v>
      </c>
      <c r="C80" s="147"/>
      <c r="D80" s="147" t="s">
        <v>24</v>
      </c>
      <c r="E80" s="185">
        <v>44207</v>
      </c>
      <c r="F80" s="185">
        <v>44561</v>
      </c>
      <c r="G80" s="185">
        <v>44207</v>
      </c>
      <c r="H80" s="185"/>
      <c r="I80" s="221">
        <v>7888.8</v>
      </c>
      <c r="J80" s="221">
        <v>7888.8</v>
      </c>
      <c r="K80" s="229">
        <v>5328.7</v>
      </c>
      <c r="L80" s="237">
        <f>13217.5-J80</f>
        <v>5328.7</v>
      </c>
      <c r="M80" s="229">
        <v>6391.1</v>
      </c>
      <c r="N80" s="226"/>
      <c r="O80" s="229">
        <v>5937.1</v>
      </c>
      <c r="P80" s="229"/>
      <c r="Q80" s="187"/>
      <c r="R80" s="67"/>
      <c r="S80" s="75">
        <v>21453.5</v>
      </c>
      <c r="T80" s="51"/>
      <c r="U80" s="51"/>
      <c r="V80" s="51"/>
      <c r="W80" s="77">
        <f t="shared" si="13"/>
        <v>25545.699999999997</v>
      </c>
      <c r="X80" s="77">
        <f t="shared" si="13"/>
        <v>13217.5</v>
      </c>
      <c r="Y80" s="77">
        <f t="shared" si="14"/>
        <v>12328.199999999997</v>
      </c>
      <c r="Z80" s="51"/>
      <c r="AA80" s="51"/>
    </row>
    <row r="81" spans="1:27" ht="118.5" customHeight="1" x14ac:dyDescent="0.25">
      <c r="A81" s="93" t="s">
        <v>265</v>
      </c>
      <c r="B81" s="176" t="s">
        <v>266</v>
      </c>
      <c r="C81" s="166"/>
      <c r="D81" s="166"/>
      <c r="E81" s="178"/>
      <c r="F81" s="178"/>
      <c r="G81" s="178"/>
      <c r="H81" s="178"/>
      <c r="I81" s="218"/>
      <c r="J81" s="218"/>
      <c r="K81" s="226"/>
      <c r="L81" s="238"/>
      <c r="M81" s="229"/>
      <c r="N81" s="226"/>
      <c r="O81" s="229"/>
      <c r="P81" s="226"/>
      <c r="Q81" s="176"/>
      <c r="R81" s="67"/>
      <c r="S81" s="75"/>
      <c r="T81" s="51"/>
      <c r="U81" s="51"/>
      <c r="V81" s="51"/>
      <c r="W81" s="77"/>
      <c r="X81" s="77"/>
      <c r="Y81" s="77"/>
      <c r="Z81" s="51"/>
      <c r="AA81" s="51"/>
    </row>
    <row r="82" spans="1:27" ht="409.5" customHeight="1" x14ac:dyDescent="0.25">
      <c r="A82" s="337" t="s">
        <v>41</v>
      </c>
      <c r="B82" s="350" t="s">
        <v>331</v>
      </c>
      <c r="C82" s="344"/>
      <c r="D82" s="350" t="s">
        <v>414</v>
      </c>
      <c r="E82" s="352">
        <v>44378</v>
      </c>
      <c r="F82" s="352">
        <v>44561</v>
      </c>
      <c r="G82" s="352">
        <v>44378</v>
      </c>
      <c r="H82" s="352"/>
      <c r="I82" s="332">
        <v>0</v>
      </c>
      <c r="J82" s="332">
        <v>0</v>
      </c>
      <c r="K82" s="332">
        <v>0</v>
      </c>
      <c r="L82" s="332">
        <v>0</v>
      </c>
      <c r="M82" s="336">
        <v>1633.6</v>
      </c>
      <c r="N82" s="332"/>
      <c r="O82" s="380">
        <v>0</v>
      </c>
      <c r="P82" s="332"/>
      <c r="Q82" s="350"/>
      <c r="R82" s="67"/>
      <c r="S82" s="75">
        <v>1633.6</v>
      </c>
      <c r="T82" s="51"/>
      <c r="U82" s="51"/>
      <c r="V82" s="51"/>
      <c r="W82" s="77">
        <f t="shared" ref="W82:W91" si="15">I82+K82+M82+O82</f>
        <v>1633.6</v>
      </c>
      <c r="X82" s="77">
        <f t="shared" ref="X82:X91" si="16">J82+L82+N82+P82</f>
        <v>0</v>
      </c>
      <c r="Y82" s="77">
        <f t="shared" ref="Y82:Y91" si="17">W82-X82</f>
        <v>1633.6</v>
      </c>
      <c r="Z82" s="51"/>
      <c r="AA82" s="51"/>
    </row>
    <row r="83" spans="1:27" ht="40.5" customHeight="1" x14ac:dyDescent="0.25">
      <c r="A83" s="338"/>
      <c r="B83" s="351"/>
      <c r="C83" s="346"/>
      <c r="D83" s="351"/>
      <c r="E83" s="335"/>
      <c r="F83" s="353"/>
      <c r="G83" s="335"/>
      <c r="H83" s="353"/>
      <c r="I83" s="333"/>
      <c r="J83" s="333"/>
      <c r="K83" s="333"/>
      <c r="L83" s="333"/>
      <c r="M83" s="336"/>
      <c r="N83" s="333"/>
      <c r="O83" s="380"/>
      <c r="P83" s="333"/>
      <c r="Q83" s="351"/>
      <c r="R83" s="67"/>
      <c r="S83" s="75"/>
      <c r="T83" s="51"/>
      <c r="U83" s="51"/>
      <c r="V83" s="51"/>
      <c r="W83" s="77">
        <f t="shared" si="15"/>
        <v>0</v>
      </c>
      <c r="X83" s="77">
        <f t="shared" si="16"/>
        <v>0</v>
      </c>
      <c r="Y83" s="77">
        <f t="shared" si="17"/>
        <v>0</v>
      </c>
      <c r="Z83" s="51"/>
      <c r="AA83" s="51"/>
    </row>
    <row r="84" spans="1:27" ht="303.75" customHeight="1" x14ac:dyDescent="0.25">
      <c r="A84" s="146" t="s">
        <v>43</v>
      </c>
      <c r="B84" s="187" t="s">
        <v>332</v>
      </c>
      <c r="C84" s="147"/>
      <c r="D84" s="187" t="s">
        <v>415</v>
      </c>
      <c r="E84" s="185">
        <v>44287</v>
      </c>
      <c r="F84" s="185">
        <v>44377</v>
      </c>
      <c r="G84" s="185">
        <v>44287</v>
      </c>
      <c r="H84" s="185"/>
      <c r="I84" s="221">
        <v>0</v>
      </c>
      <c r="J84" s="221">
        <v>0</v>
      </c>
      <c r="K84" s="229">
        <v>12262.9</v>
      </c>
      <c r="L84" s="237">
        <v>12262.9</v>
      </c>
      <c r="M84" s="228">
        <v>0</v>
      </c>
      <c r="N84" s="229"/>
      <c r="O84" s="233">
        <v>0</v>
      </c>
      <c r="P84" s="229"/>
      <c r="Q84" s="187"/>
      <c r="R84" s="67"/>
      <c r="S84" s="75">
        <v>3462.9</v>
      </c>
      <c r="T84" s="51"/>
      <c r="U84" s="51"/>
      <c r="V84" s="51"/>
      <c r="W84" s="77">
        <f t="shared" si="15"/>
        <v>12262.9</v>
      </c>
      <c r="X84" s="77">
        <f t="shared" si="16"/>
        <v>12262.9</v>
      </c>
      <c r="Y84" s="77">
        <f t="shared" si="17"/>
        <v>0</v>
      </c>
      <c r="Z84" s="51"/>
      <c r="AA84" s="51"/>
    </row>
    <row r="85" spans="1:27" ht="261.75" customHeight="1" x14ac:dyDescent="0.25">
      <c r="A85" s="146" t="s">
        <v>91</v>
      </c>
      <c r="B85" s="262" t="s">
        <v>210</v>
      </c>
      <c r="C85" s="147"/>
      <c r="D85" s="262" t="s">
        <v>415</v>
      </c>
      <c r="E85" s="261">
        <v>44287</v>
      </c>
      <c r="F85" s="261">
        <v>44377</v>
      </c>
      <c r="G85" s="261">
        <v>44287</v>
      </c>
      <c r="H85" s="261"/>
      <c r="I85" s="260">
        <v>0</v>
      </c>
      <c r="J85" s="260">
        <v>0</v>
      </c>
      <c r="K85" s="260">
        <v>1260</v>
      </c>
      <c r="L85" s="260">
        <v>1260</v>
      </c>
      <c r="M85" s="260">
        <v>0</v>
      </c>
      <c r="N85" s="260"/>
      <c r="O85" s="260">
        <v>0</v>
      </c>
      <c r="P85" s="260"/>
      <c r="Q85" s="262"/>
      <c r="R85" s="67"/>
      <c r="S85" s="75">
        <v>308.2</v>
      </c>
      <c r="T85" s="51"/>
      <c r="U85" s="51"/>
      <c r="V85" s="51"/>
      <c r="W85" s="77">
        <f t="shared" si="15"/>
        <v>1260</v>
      </c>
      <c r="X85" s="77">
        <f t="shared" si="16"/>
        <v>1260</v>
      </c>
      <c r="Y85" s="77">
        <f t="shared" si="17"/>
        <v>0</v>
      </c>
      <c r="Z85" s="51"/>
      <c r="AA85" s="51"/>
    </row>
    <row r="86" spans="1:27" ht="243" customHeight="1" x14ac:dyDescent="0.25">
      <c r="A86" s="146" t="s">
        <v>93</v>
      </c>
      <c r="B86" s="262" t="s">
        <v>334</v>
      </c>
      <c r="C86" s="147"/>
      <c r="D86" s="262" t="s">
        <v>415</v>
      </c>
      <c r="E86" s="261">
        <v>44378</v>
      </c>
      <c r="F86" s="261">
        <v>44469</v>
      </c>
      <c r="G86" s="261">
        <v>44378</v>
      </c>
      <c r="H86" s="261"/>
      <c r="I86" s="260">
        <v>0</v>
      </c>
      <c r="J86" s="260">
        <v>0</v>
      </c>
      <c r="K86" s="260">
        <v>0</v>
      </c>
      <c r="L86" s="260">
        <v>0</v>
      </c>
      <c r="M86" s="260">
        <v>700</v>
      </c>
      <c r="N86" s="260"/>
      <c r="O86" s="260">
        <v>0</v>
      </c>
      <c r="P86" s="260"/>
      <c r="Q86" s="262"/>
      <c r="R86" s="67"/>
      <c r="S86" s="75">
        <v>700</v>
      </c>
      <c r="T86" s="51"/>
      <c r="U86" s="51"/>
      <c r="V86" s="51"/>
      <c r="W86" s="77">
        <f t="shared" si="15"/>
        <v>700</v>
      </c>
      <c r="X86" s="77">
        <f t="shared" si="16"/>
        <v>0</v>
      </c>
      <c r="Y86" s="77">
        <f t="shared" si="17"/>
        <v>700</v>
      </c>
      <c r="Z86" s="51"/>
      <c r="AA86" s="51"/>
    </row>
    <row r="87" spans="1:27" ht="165" customHeight="1" x14ac:dyDescent="0.25">
      <c r="A87" s="146" t="s">
        <v>94</v>
      </c>
      <c r="B87" s="187" t="s">
        <v>335</v>
      </c>
      <c r="C87" s="147"/>
      <c r="D87" s="258" t="s">
        <v>415</v>
      </c>
      <c r="E87" s="185">
        <v>44207</v>
      </c>
      <c r="F87" s="185">
        <v>44561</v>
      </c>
      <c r="G87" s="185">
        <v>44207</v>
      </c>
      <c r="H87" s="185"/>
      <c r="I87" s="221">
        <v>4101.8999999999996</v>
      </c>
      <c r="J87" s="221">
        <v>4101.8</v>
      </c>
      <c r="K87" s="229">
        <v>3988.2</v>
      </c>
      <c r="L87" s="237">
        <f>8090-J87</f>
        <v>3988.2</v>
      </c>
      <c r="M87" s="229">
        <v>4116.3999999999996</v>
      </c>
      <c r="N87" s="229"/>
      <c r="O87" s="229">
        <v>4259.3</v>
      </c>
      <c r="P87" s="229"/>
      <c r="Q87" s="187"/>
      <c r="R87" s="67"/>
      <c r="S87" s="75">
        <v>15002.4</v>
      </c>
      <c r="T87" s="51"/>
      <c r="U87" s="51"/>
      <c r="V87" s="51"/>
      <c r="W87" s="77">
        <f t="shared" si="15"/>
        <v>16465.8</v>
      </c>
      <c r="X87" s="77">
        <f t="shared" si="16"/>
        <v>8090</v>
      </c>
      <c r="Y87" s="77">
        <f t="shared" si="17"/>
        <v>8375.7999999999993</v>
      </c>
      <c r="Z87" s="51"/>
      <c r="AA87" s="51"/>
    </row>
    <row r="88" spans="1:27" ht="365.25" customHeight="1" x14ac:dyDescent="0.25">
      <c r="A88" s="337" t="s">
        <v>95</v>
      </c>
      <c r="B88" s="350" t="s">
        <v>336</v>
      </c>
      <c r="C88" s="344"/>
      <c r="D88" s="350" t="s">
        <v>415</v>
      </c>
      <c r="E88" s="352">
        <v>44287</v>
      </c>
      <c r="F88" s="352">
        <v>44377</v>
      </c>
      <c r="G88" s="352">
        <v>44287</v>
      </c>
      <c r="H88" s="352"/>
      <c r="I88" s="332">
        <v>0</v>
      </c>
      <c r="J88" s="332">
        <v>0</v>
      </c>
      <c r="K88" s="332">
        <v>1000</v>
      </c>
      <c r="L88" s="332">
        <v>1000</v>
      </c>
      <c r="M88" s="336">
        <v>0</v>
      </c>
      <c r="N88" s="332"/>
      <c r="O88" s="380">
        <v>0</v>
      </c>
      <c r="P88" s="332"/>
      <c r="Q88" s="350"/>
      <c r="R88" s="67"/>
      <c r="S88" s="75">
        <v>1000</v>
      </c>
      <c r="T88" s="51"/>
      <c r="U88" s="51"/>
      <c r="V88" s="51"/>
      <c r="W88" s="77">
        <f t="shared" si="15"/>
        <v>1000</v>
      </c>
      <c r="X88" s="77">
        <f t="shared" si="16"/>
        <v>1000</v>
      </c>
      <c r="Y88" s="77">
        <f t="shared" si="17"/>
        <v>0</v>
      </c>
      <c r="Z88" s="51"/>
      <c r="AA88" s="51"/>
    </row>
    <row r="89" spans="1:27" ht="18.75" customHeight="1" x14ac:dyDescent="0.25">
      <c r="A89" s="338"/>
      <c r="B89" s="351"/>
      <c r="C89" s="346"/>
      <c r="D89" s="351"/>
      <c r="E89" s="353"/>
      <c r="F89" s="353"/>
      <c r="G89" s="353"/>
      <c r="H89" s="353"/>
      <c r="I89" s="333"/>
      <c r="J89" s="333"/>
      <c r="K89" s="333"/>
      <c r="L89" s="333"/>
      <c r="M89" s="336"/>
      <c r="N89" s="333"/>
      <c r="O89" s="380"/>
      <c r="P89" s="333"/>
      <c r="Q89" s="351"/>
      <c r="R89" s="67"/>
      <c r="S89" s="75"/>
      <c r="T89" s="51"/>
      <c r="U89" s="51"/>
      <c r="V89" s="51"/>
      <c r="W89" s="77">
        <f t="shared" si="15"/>
        <v>0</v>
      </c>
      <c r="X89" s="77">
        <f t="shared" si="16"/>
        <v>0</v>
      </c>
      <c r="Y89" s="77">
        <f t="shared" si="17"/>
        <v>0</v>
      </c>
      <c r="Z89" s="51"/>
      <c r="AA89" s="51"/>
    </row>
    <row r="90" spans="1:27" ht="337.5" x14ac:dyDescent="0.25">
      <c r="A90" s="146" t="s">
        <v>97</v>
      </c>
      <c r="B90" s="187" t="s">
        <v>362</v>
      </c>
      <c r="C90" s="147">
        <v>1</v>
      </c>
      <c r="D90" s="187" t="s">
        <v>416</v>
      </c>
      <c r="E90" s="185">
        <v>44378</v>
      </c>
      <c r="F90" s="185">
        <v>44377</v>
      </c>
      <c r="G90" s="185">
        <v>44378</v>
      </c>
      <c r="H90" s="185"/>
      <c r="I90" s="221">
        <v>0</v>
      </c>
      <c r="J90" s="221">
        <v>0</v>
      </c>
      <c r="K90" s="229">
        <v>0</v>
      </c>
      <c r="L90" s="237">
        <v>0</v>
      </c>
      <c r="M90" s="229">
        <v>2260.1</v>
      </c>
      <c r="N90" s="229"/>
      <c r="O90" s="231">
        <v>3699.9</v>
      </c>
      <c r="P90" s="229"/>
      <c r="Q90" s="187"/>
      <c r="R90" s="67"/>
      <c r="S90" s="75">
        <v>6040</v>
      </c>
      <c r="T90" s="51"/>
      <c r="U90" s="51"/>
      <c r="V90" s="51"/>
      <c r="W90" s="77">
        <f t="shared" si="15"/>
        <v>5960</v>
      </c>
      <c r="X90" s="77">
        <f t="shared" si="16"/>
        <v>0</v>
      </c>
      <c r="Y90" s="77">
        <f t="shared" si="17"/>
        <v>5960</v>
      </c>
      <c r="Z90" s="51"/>
      <c r="AA90" s="51"/>
    </row>
    <row r="91" spans="1:27" ht="206.25" x14ac:dyDescent="0.25">
      <c r="A91" s="146" t="s">
        <v>211</v>
      </c>
      <c r="B91" s="262" t="s">
        <v>363</v>
      </c>
      <c r="C91" s="147"/>
      <c r="D91" s="262" t="s">
        <v>280</v>
      </c>
      <c r="E91" s="261">
        <v>44470</v>
      </c>
      <c r="F91" s="261">
        <v>44561</v>
      </c>
      <c r="G91" s="261">
        <v>44470</v>
      </c>
      <c r="H91" s="261"/>
      <c r="I91" s="260">
        <v>0</v>
      </c>
      <c r="J91" s="260">
        <v>0</v>
      </c>
      <c r="K91" s="260">
        <v>0</v>
      </c>
      <c r="L91" s="260">
        <v>32.299999999999997</v>
      </c>
      <c r="M91" s="260">
        <v>0</v>
      </c>
      <c r="N91" s="260"/>
      <c r="O91" s="260">
        <v>20000</v>
      </c>
      <c r="P91" s="260"/>
      <c r="Q91" s="262"/>
      <c r="R91" s="67"/>
      <c r="S91" s="75"/>
      <c r="T91" s="51"/>
      <c r="U91" s="51"/>
      <c r="V91" s="51"/>
      <c r="W91" s="77">
        <f t="shared" si="15"/>
        <v>20000</v>
      </c>
      <c r="X91" s="77">
        <f t="shared" si="16"/>
        <v>32.299999999999997</v>
      </c>
      <c r="Y91" s="77">
        <f t="shared" si="17"/>
        <v>19967.7</v>
      </c>
      <c r="Z91" s="51"/>
      <c r="AA91" s="51"/>
    </row>
    <row r="92" spans="1:27" ht="236.25" customHeight="1" x14ac:dyDescent="0.25">
      <c r="A92" s="146" t="s">
        <v>44</v>
      </c>
      <c r="B92" s="262" t="s">
        <v>267</v>
      </c>
      <c r="C92" s="147"/>
      <c r="D92" s="262"/>
      <c r="E92" s="261"/>
      <c r="F92" s="261"/>
      <c r="G92" s="261"/>
      <c r="H92" s="261"/>
      <c r="I92" s="260"/>
      <c r="J92" s="260"/>
      <c r="K92" s="260"/>
      <c r="L92" s="260"/>
      <c r="M92" s="260"/>
      <c r="N92" s="260"/>
      <c r="O92" s="260"/>
      <c r="P92" s="260"/>
      <c r="Q92" s="262"/>
      <c r="R92" s="67"/>
      <c r="S92" s="75"/>
      <c r="T92" s="51"/>
      <c r="U92" s="51"/>
      <c r="V92" s="51"/>
      <c r="W92" s="77"/>
      <c r="X92" s="77"/>
      <c r="Y92" s="77"/>
      <c r="Z92" s="51"/>
      <c r="AA92" s="51"/>
    </row>
    <row r="93" spans="1:27" ht="299.25" customHeight="1" x14ac:dyDescent="0.25">
      <c r="A93" s="146" t="s">
        <v>45</v>
      </c>
      <c r="B93" s="187" t="s">
        <v>337</v>
      </c>
      <c r="C93" s="147"/>
      <c r="D93" s="258" t="s">
        <v>415</v>
      </c>
      <c r="E93" s="185">
        <v>11</v>
      </c>
      <c r="F93" s="185">
        <v>44561</v>
      </c>
      <c r="G93" s="185">
        <v>44207</v>
      </c>
      <c r="H93" s="148"/>
      <c r="I93" s="221">
        <v>323.10000000000002</v>
      </c>
      <c r="J93" s="221">
        <v>323.10000000000002</v>
      </c>
      <c r="K93" s="229">
        <v>0</v>
      </c>
      <c r="L93" s="237">
        <v>0</v>
      </c>
      <c r="M93" s="229">
        <v>0</v>
      </c>
      <c r="N93" s="228"/>
      <c r="O93" s="229">
        <v>25743.7</v>
      </c>
      <c r="P93" s="229"/>
      <c r="Q93" s="187"/>
      <c r="R93" s="67"/>
      <c r="S93" s="75"/>
      <c r="T93" s="51"/>
      <c r="U93" s="51"/>
      <c r="V93" s="51"/>
      <c r="W93" s="77">
        <f t="shared" ref="W93:W108" si="18">I93+K93+M93+O93</f>
        <v>26066.799999999999</v>
      </c>
      <c r="X93" s="77">
        <f t="shared" ref="X93:X108" si="19">J93+L93+N93+P93</f>
        <v>323.10000000000002</v>
      </c>
      <c r="Y93" s="77">
        <f t="shared" ref="Y93:Y108" si="20">W93-X93</f>
        <v>25743.7</v>
      </c>
      <c r="Z93" s="51"/>
      <c r="AA93" s="51"/>
    </row>
    <row r="94" spans="1:27" ht="256.5" customHeight="1" x14ac:dyDescent="0.25">
      <c r="A94" s="146"/>
      <c r="B94" s="187" t="s">
        <v>268</v>
      </c>
      <c r="C94" s="147">
        <v>1</v>
      </c>
      <c r="D94" s="187" t="s">
        <v>417</v>
      </c>
      <c r="E94" s="148" t="s">
        <v>24</v>
      </c>
      <c r="F94" s="185">
        <v>44561</v>
      </c>
      <c r="G94" s="148" t="s">
        <v>24</v>
      </c>
      <c r="H94" s="185"/>
      <c r="I94" s="221" t="s">
        <v>24</v>
      </c>
      <c r="J94" s="221" t="s">
        <v>24</v>
      </c>
      <c r="K94" s="229" t="s">
        <v>24</v>
      </c>
      <c r="L94" s="237" t="s">
        <v>24</v>
      </c>
      <c r="M94" s="229" t="s">
        <v>24</v>
      </c>
      <c r="N94" s="229" t="s">
        <v>24</v>
      </c>
      <c r="O94" s="229" t="s">
        <v>24</v>
      </c>
      <c r="P94" s="229" t="s">
        <v>24</v>
      </c>
      <c r="Q94" s="186"/>
      <c r="R94" s="67"/>
      <c r="S94" s="75"/>
      <c r="T94" s="51"/>
      <c r="U94" s="51"/>
      <c r="V94" s="51"/>
      <c r="W94" s="77" t="e">
        <f t="shared" si="18"/>
        <v>#VALUE!</v>
      </c>
      <c r="X94" s="77" t="e">
        <f t="shared" si="19"/>
        <v>#VALUE!</v>
      </c>
      <c r="Y94" s="77" t="e">
        <f t="shared" si="20"/>
        <v>#VALUE!</v>
      </c>
      <c r="Z94" s="51"/>
      <c r="AA94" s="51"/>
    </row>
    <row r="95" spans="1:27" ht="199.5" customHeight="1" x14ac:dyDescent="0.25">
      <c r="A95" s="95"/>
      <c r="B95" s="76" t="s">
        <v>269</v>
      </c>
      <c r="C95" s="147" t="s">
        <v>24</v>
      </c>
      <c r="D95" s="187" t="s">
        <v>279</v>
      </c>
      <c r="E95" s="148" t="s">
        <v>24</v>
      </c>
      <c r="F95" s="185">
        <v>44561</v>
      </c>
      <c r="G95" s="148" t="s">
        <v>24</v>
      </c>
      <c r="H95" s="185"/>
      <c r="I95" s="221" t="s">
        <v>24</v>
      </c>
      <c r="J95" s="221" t="s">
        <v>24</v>
      </c>
      <c r="K95" s="229" t="s">
        <v>24</v>
      </c>
      <c r="L95" s="237" t="s">
        <v>24</v>
      </c>
      <c r="M95" s="79" t="s">
        <v>24</v>
      </c>
      <c r="N95" s="229" t="s">
        <v>24</v>
      </c>
      <c r="O95" s="79" t="s">
        <v>24</v>
      </c>
      <c r="P95" s="229" t="s">
        <v>24</v>
      </c>
      <c r="Q95" s="186"/>
      <c r="R95" s="67"/>
      <c r="S95" s="75"/>
      <c r="T95" s="51"/>
      <c r="U95" s="51"/>
      <c r="V95" s="51"/>
      <c r="W95" s="77" t="e">
        <f t="shared" si="18"/>
        <v>#VALUE!</v>
      </c>
      <c r="X95" s="77" t="e">
        <f t="shared" si="19"/>
        <v>#VALUE!</v>
      </c>
      <c r="Y95" s="77" t="e">
        <f t="shared" si="20"/>
        <v>#VALUE!</v>
      </c>
      <c r="Z95" s="51"/>
      <c r="AA95" s="51"/>
    </row>
    <row r="96" spans="1:27" ht="297" customHeight="1" x14ac:dyDescent="0.25">
      <c r="A96" s="146"/>
      <c r="B96" s="187" t="s">
        <v>270</v>
      </c>
      <c r="C96" s="147" t="s">
        <v>24</v>
      </c>
      <c r="D96" s="187" t="s">
        <v>414</v>
      </c>
      <c r="E96" s="148" t="s">
        <v>24</v>
      </c>
      <c r="F96" s="185">
        <v>44561</v>
      </c>
      <c r="G96" s="148" t="s">
        <v>24</v>
      </c>
      <c r="H96" s="185"/>
      <c r="I96" s="221" t="s">
        <v>24</v>
      </c>
      <c r="J96" s="221" t="s">
        <v>24</v>
      </c>
      <c r="K96" s="229" t="s">
        <v>24</v>
      </c>
      <c r="L96" s="237" t="s">
        <v>24</v>
      </c>
      <c r="M96" s="229" t="s">
        <v>24</v>
      </c>
      <c r="N96" s="229" t="s">
        <v>24</v>
      </c>
      <c r="O96" s="229" t="s">
        <v>24</v>
      </c>
      <c r="P96" s="229" t="s">
        <v>24</v>
      </c>
      <c r="Q96" s="186"/>
      <c r="R96" s="67"/>
      <c r="S96" s="75"/>
      <c r="T96" s="51"/>
      <c r="U96" s="51"/>
      <c r="V96" s="51"/>
      <c r="W96" s="77" t="e">
        <f t="shared" si="18"/>
        <v>#VALUE!</v>
      </c>
      <c r="X96" s="77" t="e">
        <f t="shared" si="19"/>
        <v>#VALUE!</v>
      </c>
      <c r="Y96" s="77" t="e">
        <f t="shared" si="20"/>
        <v>#VALUE!</v>
      </c>
      <c r="Z96" s="51"/>
      <c r="AA96" s="51"/>
    </row>
    <row r="97" spans="1:27" ht="33" customHeight="1" x14ac:dyDescent="0.25">
      <c r="A97" s="78" t="s">
        <v>212</v>
      </c>
      <c r="B97" s="379" t="s">
        <v>213</v>
      </c>
      <c r="C97" s="379"/>
      <c r="D97" s="379"/>
      <c r="E97" s="379"/>
      <c r="F97" s="379"/>
      <c r="G97" s="379"/>
      <c r="H97" s="379"/>
      <c r="I97" s="144">
        <f>I99+I101+I110+I112+I113+I115+I116+I119+I117+I122+I123+I124+I125+I129+I131+I133+I135+I136+I138+I140+I143+I146+I126+I120</f>
        <v>9488681.6000000015</v>
      </c>
      <c r="J97" s="144">
        <f>J99+J101+J110+J112+J113+J115+J116+J119+J117+J122+J123+J124+J125+J129+J131+J133+J135+J136+J138+J140+J143+J146+J126+J120</f>
        <v>9565328.4000000004</v>
      </c>
      <c r="K97" s="144">
        <f>K99+K101+K110+K112+K113+K115+K116+K119+K117+K122+K123+K124+K125+K129+K131+K133+K135+K136+K138+K140+K143+K146+K126+K120+K127</f>
        <v>10040956.9</v>
      </c>
      <c r="L97" s="144">
        <f>L99+L101+L110+L112+L113+L115+L116+L119+L117+L122+L123+L124+L125+L129+L131+L133+L135+L136+L138+L140+L143+L146+L126+L120+L127</f>
        <v>11013112</v>
      </c>
      <c r="M97" s="144">
        <f t="shared" ref="M97" si="21">M99+M101+M110+M112+M113+M115+M116+M119+M117+M122+M123+M124+M125+M129+M131+M133+M135+M136+M138+M140+M143+M146+M126+M120+M127</f>
        <v>9619008.4000000022</v>
      </c>
      <c r="N97" s="144">
        <f>N99+N101+N110+N112+N113+N115+N116+N119+N117+N122+N123+N124+N125+N129+N131+N133+N135+N136+N138+N140+N143+N146+N126+N120</f>
        <v>0</v>
      </c>
      <c r="O97" s="144">
        <f>O99+O101+O110+O112+O113+O115+O116+O119+O117+O122+O123+O124+O125+O129+O131+O133+O135+O136+O138+O140+O143+O146+O126+O120</f>
        <v>9176285.0999999996</v>
      </c>
      <c r="P97" s="144">
        <f>P99+P101+P110+P112+P113+P115+P116+P119+P117+P122+P123+P124+P125+P129+P131+P133+P135+P136+P138+P140+P143+P146+P126</f>
        <v>0</v>
      </c>
      <c r="Q97" s="260"/>
      <c r="R97" s="67"/>
      <c r="S97" s="75">
        <f>I97+K97+M97+O97</f>
        <v>38324932</v>
      </c>
      <c r="T97" s="122">
        <f>J97+L97+N97+P97</f>
        <v>20578440.399999999</v>
      </c>
      <c r="U97" s="81"/>
      <c r="V97" s="81"/>
      <c r="W97" s="77">
        <f t="shared" si="18"/>
        <v>38324932</v>
      </c>
      <c r="X97" s="77">
        <f t="shared" si="19"/>
        <v>20578440.399999999</v>
      </c>
      <c r="Y97" s="77">
        <f t="shared" si="20"/>
        <v>17746491.600000001</v>
      </c>
      <c r="Z97" s="81"/>
      <c r="AA97" s="81"/>
    </row>
    <row r="98" spans="1:27" ht="240" customHeight="1" x14ac:dyDescent="0.25">
      <c r="A98" s="146" t="s">
        <v>73</v>
      </c>
      <c r="B98" s="82" t="s">
        <v>214</v>
      </c>
      <c r="C98" s="76"/>
      <c r="D98" s="147" t="s">
        <v>24</v>
      </c>
      <c r="E98" s="83"/>
      <c r="F98" s="83"/>
      <c r="G98" s="83"/>
      <c r="H98" s="83"/>
      <c r="I98" s="221"/>
      <c r="J98" s="221"/>
      <c r="K98" s="229"/>
      <c r="L98" s="237"/>
      <c r="M98" s="229"/>
      <c r="N98" s="229"/>
      <c r="O98" s="229"/>
      <c r="P98" s="229"/>
      <c r="Q98" s="187"/>
      <c r="R98" s="67"/>
      <c r="S98" s="75"/>
      <c r="T98" s="51"/>
      <c r="U98" s="51"/>
      <c r="V98" s="51"/>
      <c r="W98" s="77">
        <f t="shared" si="18"/>
        <v>0</v>
      </c>
      <c r="X98" s="77">
        <f t="shared" si="19"/>
        <v>0</v>
      </c>
      <c r="Y98" s="77">
        <f t="shared" si="20"/>
        <v>0</v>
      </c>
      <c r="Z98" s="51"/>
      <c r="AA98" s="51"/>
    </row>
    <row r="99" spans="1:27" ht="368.25" customHeight="1" x14ac:dyDescent="0.25">
      <c r="A99" s="146" t="s">
        <v>32</v>
      </c>
      <c r="B99" s="187" t="s">
        <v>215</v>
      </c>
      <c r="C99" s="147"/>
      <c r="D99" s="187" t="s">
        <v>418</v>
      </c>
      <c r="E99" s="185">
        <v>44207</v>
      </c>
      <c r="F99" s="185">
        <v>44561</v>
      </c>
      <c r="G99" s="185">
        <v>44207</v>
      </c>
      <c r="H99" s="185"/>
      <c r="I99" s="221">
        <f t="shared" ref="I99:M99" si="22">I100</f>
        <v>453921.1</v>
      </c>
      <c r="J99" s="221">
        <f t="shared" si="22"/>
        <v>459637.7</v>
      </c>
      <c r="K99" s="229">
        <v>563460.69999999995</v>
      </c>
      <c r="L99" s="237">
        <f>1076092.2-J99</f>
        <v>616454.5</v>
      </c>
      <c r="M99" s="229">
        <f t="shared" si="22"/>
        <v>628090.1</v>
      </c>
      <c r="N99" s="229"/>
      <c r="O99" s="229">
        <v>885388.5</v>
      </c>
      <c r="P99" s="229"/>
      <c r="Q99" s="187"/>
      <c r="R99" s="67"/>
      <c r="S99" s="75"/>
      <c r="T99" s="51"/>
      <c r="U99" s="51"/>
      <c r="V99" s="51"/>
      <c r="W99" s="77">
        <f t="shared" si="18"/>
        <v>2530860.4</v>
      </c>
      <c r="X99" s="77">
        <f t="shared" si="19"/>
        <v>1076092.2</v>
      </c>
      <c r="Y99" s="77">
        <f t="shared" si="20"/>
        <v>1454768.2</v>
      </c>
      <c r="Z99" s="51"/>
      <c r="AA99" s="51"/>
    </row>
    <row r="100" spans="1:27" ht="168.75" customHeight="1" x14ac:dyDescent="0.25">
      <c r="A100" s="147" t="s">
        <v>76</v>
      </c>
      <c r="B100" s="187" t="s">
        <v>81</v>
      </c>
      <c r="C100" s="147"/>
      <c r="D100" s="147" t="s">
        <v>24</v>
      </c>
      <c r="E100" s="185">
        <v>44207</v>
      </c>
      <c r="F100" s="185">
        <v>44561</v>
      </c>
      <c r="G100" s="185">
        <v>44207</v>
      </c>
      <c r="H100" s="185"/>
      <c r="I100" s="221">
        <v>453921.1</v>
      </c>
      <c r="J100" s="221">
        <v>459637.7</v>
      </c>
      <c r="K100" s="229">
        <v>563460.69999999995</v>
      </c>
      <c r="L100" s="237">
        <f>1076092.2-J100</f>
        <v>616454.5</v>
      </c>
      <c r="M100" s="229">
        <v>628090.1</v>
      </c>
      <c r="N100" s="229"/>
      <c r="O100" s="229">
        <v>885388.5</v>
      </c>
      <c r="P100" s="229"/>
      <c r="Q100" s="187"/>
      <c r="R100" s="67"/>
      <c r="S100" s="75">
        <v>2343479.9</v>
      </c>
      <c r="T100" s="51"/>
      <c r="U100" s="51"/>
      <c r="V100" s="51"/>
      <c r="W100" s="77">
        <f t="shared" si="18"/>
        <v>2530860.4</v>
      </c>
      <c r="X100" s="77">
        <f t="shared" si="19"/>
        <v>1076092.2</v>
      </c>
      <c r="Y100" s="77">
        <f t="shared" si="20"/>
        <v>1454768.2</v>
      </c>
      <c r="Z100" s="51"/>
      <c r="AA100" s="51"/>
    </row>
    <row r="101" spans="1:27" ht="270" customHeight="1" x14ac:dyDescent="0.25">
      <c r="A101" s="337" t="s">
        <v>33</v>
      </c>
      <c r="B101" s="350" t="s">
        <v>339</v>
      </c>
      <c r="C101" s="344"/>
      <c r="D101" s="350" t="s">
        <v>419</v>
      </c>
      <c r="E101" s="370">
        <v>44207</v>
      </c>
      <c r="F101" s="370">
        <v>44561</v>
      </c>
      <c r="G101" s="370">
        <v>44207</v>
      </c>
      <c r="H101" s="370"/>
      <c r="I101" s="336">
        <f t="shared" ref="I101:M101" si="23">I103+I104</f>
        <v>52312.999999999993</v>
      </c>
      <c r="J101" s="336">
        <f t="shared" si="23"/>
        <v>52534.299999999996</v>
      </c>
      <c r="K101" s="336">
        <v>68365</v>
      </c>
      <c r="L101" s="336">
        <f>122397.6-J101</f>
        <v>69863.300000000017</v>
      </c>
      <c r="M101" s="336">
        <f t="shared" si="23"/>
        <v>82002.600000000006</v>
      </c>
      <c r="N101" s="336"/>
      <c r="O101" s="336">
        <v>115730.2</v>
      </c>
      <c r="P101" s="336"/>
      <c r="Q101" s="368"/>
      <c r="R101" s="67"/>
      <c r="S101" s="75"/>
      <c r="T101" s="51"/>
      <c r="U101" s="51"/>
      <c r="V101" s="51"/>
      <c r="W101" s="77">
        <f t="shared" si="18"/>
        <v>318410.8</v>
      </c>
      <c r="X101" s="77">
        <f t="shared" si="19"/>
        <v>122397.6</v>
      </c>
      <c r="Y101" s="77">
        <f t="shared" si="20"/>
        <v>196013.19999999998</v>
      </c>
      <c r="Z101" s="51"/>
      <c r="AA101" s="51"/>
    </row>
    <row r="102" spans="1:27" ht="240.75" customHeight="1" x14ac:dyDescent="0.25">
      <c r="A102" s="338"/>
      <c r="B102" s="351"/>
      <c r="C102" s="346"/>
      <c r="D102" s="351"/>
      <c r="E102" s="370"/>
      <c r="F102" s="370"/>
      <c r="G102" s="370"/>
      <c r="H102" s="370"/>
      <c r="I102" s="336"/>
      <c r="J102" s="336"/>
      <c r="K102" s="336"/>
      <c r="L102" s="336"/>
      <c r="M102" s="336"/>
      <c r="N102" s="336"/>
      <c r="O102" s="336"/>
      <c r="P102" s="336"/>
      <c r="Q102" s="368"/>
      <c r="R102" s="67"/>
      <c r="S102" s="75"/>
      <c r="T102" s="51"/>
      <c r="U102" s="51"/>
      <c r="V102" s="51"/>
      <c r="W102" s="77">
        <f t="shared" si="18"/>
        <v>0</v>
      </c>
      <c r="X102" s="77">
        <f t="shared" si="19"/>
        <v>0</v>
      </c>
      <c r="Y102" s="77">
        <f t="shared" si="20"/>
        <v>0</v>
      </c>
      <c r="Z102" s="51"/>
      <c r="AA102" s="51"/>
    </row>
    <row r="103" spans="1:27" ht="20.25" x14ac:dyDescent="0.25">
      <c r="A103" s="146" t="s">
        <v>101</v>
      </c>
      <c r="B103" s="187" t="s">
        <v>81</v>
      </c>
      <c r="C103" s="147"/>
      <c r="D103" s="147" t="s">
        <v>24</v>
      </c>
      <c r="E103" s="185">
        <v>44207</v>
      </c>
      <c r="F103" s="185">
        <v>44561</v>
      </c>
      <c r="G103" s="185">
        <v>44207</v>
      </c>
      <c r="H103" s="185"/>
      <c r="I103" s="221">
        <v>15184.6</v>
      </c>
      <c r="J103" s="221">
        <v>15405.9</v>
      </c>
      <c r="K103" s="229">
        <v>19657.599999999999</v>
      </c>
      <c r="L103" s="237">
        <f>36561.8-J103</f>
        <v>21155.9</v>
      </c>
      <c r="M103" s="227">
        <v>26878.9</v>
      </c>
      <c r="N103" s="229"/>
      <c r="O103" s="232">
        <v>41394.400000000001</v>
      </c>
      <c r="P103" s="229"/>
      <c r="Q103" s="187"/>
      <c r="R103" s="67"/>
      <c r="S103" s="75">
        <v>89788.7</v>
      </c>
      <c r="T103" s="51"/>
      <c r="U103" s="51"/>
      <c r="V103" s="51"/>
      <c r="W103" s="77">
        <f t="shared" si="18"/>
        <v>103115.5</v>
      </c>
      <c r="X103" s="77">
        <f t="shared" si="19"/>
        <v>36561.800000000003</v>
      </c>
      <c r="Y103" s="77">
        <f t="shared" si="20"/>
        <v>66553.7</v>
      </c>
      <c r="Z103" s="51"/>
      <c r="AA103" s="51"/>
    </row>
    <row r="104" spans="1:27" ht="83.25" customHeight="1" x14ac:dyDescent="0.25">
      <c r="A104" s="146" t="s">
        <v>102</v>
      </c>
      <c r="B104" s="262" t="s">
        <v>103</v>
      </c>
      <c r="C104" s="147"/>
      <c r="D104" s="147" t="s">
        <v>24</v>
      </c>
      <c r="E104" s="261">
        <v>44207</v>
      </c>
      <c r="F104" s="261">
        <v>44561</v>
      </c>
      <c r="G104" s="261">
        <v>44207</v>
      </c>
      <c r="H104" s="261"/>
      <c r="I104" s="260">
        <f t="shared" ref="I104:M104" si="24">I105+I106+I107</f>
        <v>37128.399999999994</v>
      </c>
      <c r="J104" s="260">
        <f t="shared" si="24"/>
        <v>37128.399999999994</v>
      </c>
      <c r="K104" s="260">
        <v>48707.4</v>
      </c>
      <c r="L104" s="260">
        <f>85835.8-J104</f>
        <v>48707.400000000009</v>
      </c>
      <c r="M104" s="260">
        <f t="shared" si="24"/>
        <v>55123.7</v>
      </c>
      <c r="N104" s="260"/>
      <c r="O104" s="260">
        <v>74335.8</v>
      </c>
      <c r="P104" s="260"/>
      <c r="Q104" s="262"/>
      <c r="R104" s="67"/>
      <c r="S104" s="75"/>
      <c r="T104" s="51"/>
      <c r="U104" s="51"/>
      <c r="V104" s="51"/>
      <c r="W104" s="77">
        <f t="shared" si="18"/>
        <v>215295.3</v>
      </c>
      <c r="X104" s="77">
        <f t="shared" si="19"/>
        <v>85835.8</v>
      </c>
      <c r="Y104" s="77">
        <f t="shared" si="20"/>
        <v>129459.49999999999</v>
      </c>
      <c r="Z104" s="51"/>
      <c r="AA104" s="51"/>
    </row>
    <row r="105" spans="1:27" ht="75" x14ac:dyDescent="0.25">
      <c r="A105" s="146" t="s">
        <v>104</v>
      </c>
      <c r="B105" s="262" t="s">
        <v>86</v>
      </c>
      <c r="C105" s="147"/>
      <c r="D105" s="147" t="s">
        <v>24</v>
      </c>
      <c r="E105" s="261">
        <v>44207</v>
      </c>
      <c r="F105" s="261">
        <v>44561</v>
      </c>
      <c r="G105" s="261">
        <v>44207</v>
      </c>
      <c r="H105" s="261"/>
      <c r="I105" s="260">
        <v>36466.699999999997</v>
      </c>
      <c r="J105" s="260">
        <v>36466.699999999997</v>
      </c>
      <c r="K105" s="260">
        <v>46272.9</v>
      </c>
      <c r="L105" s="260">
        <f>82739.6-J105</f>
        <v>46272.900000000009</v>
      </c>
      <c r="M105" s="260">
        <v>52286.2</v>
      </c>
      <c r="N105" s="260"/>
      <c r="O105" s="260">
        <v>74119.199999999997</v>
      </c>
      <c r="P105" s="260"/>
      <c r="Q105" s="262"/>
      <c r="R105" s="67"/>
      <c r="S105" s="75">
        <v>184625.4</v>
      </c>
      <c r="T105" s="51"/>
      <c r="U105" s="51"/>
      <c r="V105" s="51"/>
      <c r="W105" s="77">
        <f t="shared" si="18"/>
        <v>209145</v>
      </c>
      <c r="X105" s="77">
        <f t="shared" si="19"/>
        <v>82739.600000000006</v>
      </c>
      <c r="Y105" s="77">
        <f t="shared" si="20"/>
        <v>126405.4</v>
      </c>
      <c r="Z105" s="51"/>
      <c r="AA105" s="51"/>
    </row>
    <row r="106" spans="1:27" ht="48.75" customHeight="1" x14ac:dyDescent="0.25">
      <c r="A106" s="146" t="s">
        <v>105</v>
      </c>
      <c r="B106" s="187" t="s">
        <v>88</v>
      </c>
      <c r="C106" s="147"/>
      <c r="D106" s="147" t="s">
        <v>24</v>
      </c>
      <c r="E106" s="185">
        <v>44287</v>
      </c>
      <c r="F106" s="185">
        <v>44469</v>
      </c>
      <c r="G106" s="185">
        <v>44287</v>
      </c>
      <c r="H106" s="185"/>
      <c r="I106" s="221">
        <v>0</v>
      </c>
      <c r="J106" s="221">
        <v>0</v>
      </c>
      <c r="K106" s="229">
        <v>2300</v>
      </c>
      <c r="L106" s="237">
        <v>2300</v>
      </c>
      <c r="M106" s="229">
        <v>2500</v>
      </c>
      <c r="N106" s="229"/>
      <c r="O106" s="229">
        <v>0</v>
      </c>
      <c r="P106" s="227"/>
      <c r="Q106" s="187"/>
      <c r="R106" s="67"/>
      <c r="S106" s="75">
        <v>32000</v>
      </c>
      <c r="T106" s="51"/>
      <c r="U106" s="51"/>
      <c r="V106" s="51"/>
      <c r="W106" s="77">
        <f t="shared" si="18"/>
        <v>4800</v>
      </c>
      <c r="X106" s="77">
        <f t="shared" si="19"/>
        <v>2300</v>
      </c>
      <c r="Y106" s="77">
        <f t="shared" si="20"/>
        <v>2500</v>
      </c>
      <c r="Z106" s="51"/>
      <c r="AA106" s="51"/>
    </row>
    <row r="107" spans="1:27" ht="90" customHeight="1" x14ac:dyDescent="0.25">
      <c r="A107" s="169" t="s">
        <v>106</v>
      </c>
      <c r="B107" s="350" t="s">
        <v>340</v>
      </c>
      <c r="C107" s="344"/>
      <c r="D107" s="344" t="s">
        <v>24</v>
      </c>
      <c r="E107" s="352">
        <v>44207</v>
      </c>
      <c r="F107" s="352">
        <v>44561</v>
      </c>
      <c r="G107" s="352">
        <v>44207</v>
      </c>
      <c r="H107" s="352"/>
      <c r="I107" s="332">
        <v>661.7</v>
      </c>
      <c r="J107" s="332">
        <v>661.7</v>
      </c>
      <c r="K107" s="332">
        <v>134.5</v>
      </c>
      <c r="L107" s="332">
        <f>796.2-J107</f>
        <v>134.5</v>
      </c>
      <c r="M107" s="336">
        <v>337.5</v>
      </c>
      <c r="N107" s="336"/>
      <c r="O107" s="336">
        <v>216.6</v>
      </c>
      <c r="P107" s="332"/>
      <c r="Q107" s="350"/>
      <c r="R107" s="67"/>
      <c r="S107" s="75">
        <v>1254.4000000000001</v>
      </c>
      <c r="T107" s="51"/>
      <c r="U107" s="51"/>
      <c r="V107" s="51"/>
      <c r="W107" s="77">
        <f t="shared" si="18"/>
        <v>1350.3</v>
      </c>
      <c r="X107" s="77">
        <f t="shared" si="19"/>
        <v>796.2</v>
      </c>
      <c r="Y107" s="77">
        <f t="shared" si="20"/>
        <v>554.09999999999991</v>
      </c>
      <c r="Z107" s="51"/>
      <c r="AA107" s="51"/>
    </row>
    <row r="108" spans="1:27" ht="408.75" customHeight="1" x14ac:dyDescent="0.25">
      <c r="A108" s="171"/>
      <c r="B108" s="351"/>
      <c r="C108" s="346"/>
      <c r="D108" s="346"/>
      <c r="E108" s="353"/>
      <c r="F108" s="353"/>
      <c r="G108" s="353"/>
      <c r="H108" s="353"/>
      <c r="I108" s="333"/>
      <c r="J108" s="333"/>
      <c r="K108" s="333"/>
      <c r="L108" s="333"/>
      <c r="M108" s="336"/>
      <c r="N108" s="336"/>
      <c r="O108" s="336"/>
      <c r="P108" s="333"/>
      <c r="Q108" s="351"/>
      <c r="R108" s="67"/>
      <c r="S108" s="75"/>
      <c r="T108" s="51"/>
      <c r="U108" s="51"/>
      <c r="V108" s="51"/>
      <c r="W108" s="77">
        <f t="shared" si="18"/>
        <v>0</v>
      </c>
      <c r="X108" s="77">
        <f t="shared" si="19"/>
        <v>0</v>
      </c>
      <c r="Y108" s="77">
        <f t="shared" si="20"/>
        <v>0</v>
      </c>
      <c r="Z108" s="51"/>
      <c r="AA108" s="51"/>
    </row>
    <row r="109" spans="1:27" ht="132.75" customHeight="1" x14ac:dyDescent="0.25">
      <c r="A109" s="170" t="s">
        <v>263</v>
      </c>
      <c r="B109" s="182" t="s">
        <v>271</v>
      </c>
      <c r="C109" s="167"/>
      <c r="D109" s="167"/>
      <c r="E109" s="183"/>
      <c r="F109" s="183"/>
      <c r="G109" s="183"/>
      <c r="H109" s="183"/>
      <c r="I109" s="219"/>
      <c r="J109" s="219"/>
      <c r="K109" s="227"/>
      <c r="L109" s="239"/>
      <c r="M109" s="95"/>
      <c r="N109" s="229"/>
      <c r="O109" s="95"/>
      <c r="P109" s="227"/>
      <c r="Q109" s="182"/>
      <c r="R109" s="67"/>
      <c r="S109" s="75"/>
      <c r="T109" s="51"/>
      <c r="U109" s="51"/>
      <c r="V109" s="51"/>
      <c r="W109" s="77"/>
      <c r="X109" s="77"/>
      <c r="Y109" s="77"/>
      <c r="Z109" s="51"/>
      <c r="AA109" s="51"/>
    </row>
    <row r="110" spans="1:27" ht="334.5" customHeight="1" x14ac:dyDescent="0.25">
      <c r="A110" s="169" t="s">
        <v>78</v>
      </c>
      <c r="B110" s="188" t="s">
        <v>372</v>
      </c>
      <c r="C110" s="188"/>
      <c r="D110" s="256" t="s">
        <v>403</v>
      </c>
      <c r="E110" s="178">
        <v>44207</v>
      </c>
      <c r="F110" s="178">
        <v>44561</v>
      </c>
      <c r="G110" s="178">
        <v>44207</v>
      </c>
      <c r="H110" s="178"/>
      <c r="I110" s="218">
        <v>97853.2</v>
      </c>
      <c r="J110" s="218">
        <v>97853.2</v>
      </c>
      <c r="K110" s="332">
        <v>84000</v>
      </c>
      <c r="L110" s="332">
        <f>181853.2-J110</f>
        <v>84000.000000000015</v>
      </c>
      <c r="M110" s="336">
        <v>87963.3</v>
      </c>
      <c r="N110" s="332"/>
      <c r="O110" s="336">
        <v>82036.7</v>
      </c>
      <c r="P110" s="226"/>
      <c r="Q110" s="188"/>
      <c r="R110" s="67"/>
      <c r="S110" s="75">
        <v>290480.3</v>
      </c>
      <c r="T110" s="51"/>
      <c r="U110" s="51"/>
      <c r="V110" s="51"/>
      <c r="W110" s="77">
        <f t="shared" ref="W110:W120" si="25">I110+K110+M110+O110</f>
        <v>351853.2</v>
      </c>
      <c r="X110" s="77">
        <f t="shared" ref="X110:X120" si="26">J110+L110+N110+P110</f>
        <v>181853.2</v>
      </c>
      <c r="Y110" s="77">
        <f t="shared" ref="Y110:Y120" si="27">W110-X110</f>
        <v>170000</v>
      </c>
      <c r="Z110" s="51"/>
      <c r="AA110" s="51"/>
    </row>
    <row r="111" spans="1:27" ht="239.25" customHeight="1" x14ac:dyDescent="0.25">
      <c r="A111" s="90"/>
      <c r="B111" s="90" t="s">
        <v>371</v>
      </c>
      <c r="C111" s="90"/>
      <c r="D111" s="90"/>
      <c r="E111" s="90"/>
      <c r="F111" s="90"/>
      <c r="G111" s="90"/>
      <c r="H111" s="90"/>
      <c r="I111" s="90"/>
      <c r="J111" s="90"/>
      <c r="K111" s="333"/>
      <c r="L111" s="333"/>
      <c r="M111" s="336"/>
      <c r="N111" s="333"/>
      <c r="O111" s="336"/>
      <c r="P111" s="90"/>
      <c r="Q111" s="90"/>
      <c r="R111" s="67"/>
      <c r="S111" s="75"/>
      <c r="T111" s="51"/>
      <c r="U111" s="51"/>
      <c r="V111" s="51"/>
      <c r="W111" s="77">
        <f t="shared" si="25"/>
        <v>0</v>
      </c>
      <c r="X111" s="77">
        <f t="shared" si="26"/>
        <v>0</v>
      </c>
      <c r="Y111" s="77">
        <f t="shared" si="27"/>
        <v>0</v>
      </c>
      <c r="Z111" s="51"/>
      <c r="AA111" s="51"/>
    </row>
    <row r="112" spans="1:27" ht="196.5" customHeight="1" x14ac:dyDescent="0.25">
      <c r="A112" s="146" t="s">
        <v>34</v>
      </c>
      <c r="B112" s="262" t="s">
        <v>341</v>
      </c>
      <c r="C112" s="147"/>
      <c r="D112" s="262" t="s">
        <v>403</v>
      </c>
      <c r="E112" s="261">
        <v>44207</v>
      </c>
      <c r="F112" s="261">
        <v>44561</v>
      </c>
      <c r="G112" s="261">
        <v>44207</v>
      </c>
      <c r="H112" s="261"/>
      <c r="I112" s="260">
        <v>244005.9</v>
      </c>
      <c r="J112" s="260">
        <v>244080.6</v>
      </c>
      <c r="K112" s="260">
        <v>246379</v>
      </c>
      <c r="L112" s="260">
        <f>494948.1-J112</f>
        <v>250867.49999999997</v>
      </c>
      <c r="M112" s="260">
        <v>262869</v>
      </c>
      <c r="N112" s="260"/>
      <c r="O112" s="260">
        <v>298222.09999999998</v>
      </c>
      <c r="P112" s="260"/>
      <c r="Q112" s="262"/>
      <c r="R112" s="67"/>
      <c r="S112" s="75">
        <v>954916</v>
      </c>
      <c r="T112" s="51"/>
      <c r="U112" s="51"/>
      <c r="V112" s="51"/>
      <c r="W112" s="77">
        <f t="shared" si="25"/>
        <v>1051476</v>
      </c>
      <c r="X112" s="77">
        <f t="shared" si="26"/>
        <v>494948.1</v>
      </c>
      <c r="Y112" s="77">
        <f t="shared" si="27"/>
        <v>556527.9</v>
      </c>
      <c r="Z112" s="51"/>
      <c r="AA112" s="51"/>
    </row>
    <row r="113" spans="1:27" ht="408.75" customHeight="1" x14ac:dyDescent="0.25">
      <c r="A113" s="337" t="s">
        <v>35</v>
      </c>
      <c r="B113" s="350" t="s">
        <v>370</v>
      </c>
      <c r="C113" s="344"/>
      <c r="D113" s="350" t="s">
        <v>403</v>
      </c>
      <c r="E113" s="352">
        <v>44207</v>
      </c>
      <c r="F113" s="352">
        <v>44561</v>
      </c>
      <c r="G113" s="352">
        <v>44207</v>
      </c>
      <c r="H113" s="352"/>
      <c r="I113" s="332">
        <v>25722.6</v>
      </c>
      <c r="J113" s="332">
        <v>25723</v>
      </c>
      <c r="K113" s="332">
        <v>25690.1</v>
      </c>
      <c r="L113" s="332">
        <f>52288-J113</f>
        <v>26565</v>
      </c>
      <c r="M113" s="371">
        <v>43514.6</v>
      </c>
      <c r="N113" s="332"/>
      <c r="O113" s="381">
        <v>78965.8</v>
      </c>
      <c r="P113" s="332"/>
      <c r="Q113" s="350"/>
      <c r="R113" s="67"/>
      <c r="S113" s="75">
        <v>140508.9</v>
      </c>
      <c r="T113" s="51"/>
      <c r="U113" s="51"/>
      <c r="V113" s="51"/>
      <c r="W113" s="77">
        <f t="shared" si="25"/>
        <v>173893.09999999998</v>
      </c>
      <c r="X113" s="77">
        <f t="shared" si="26"/>
        <v>52288</v>
      </c>
      <c r="Y113" s="77">
        <f t="shared" si="27"/>
        <v>121605.09999999998</v>
      </c>
      <c r="Z113" s="51"/>
      <c r="AA113" s="51"/>
    </row>
    <row r="114" spans="1:27" ht="117.75" customHeight="1" x14ac:dyDescent="0.25">
      <c r="A114" s="338"/>
      <c r="B114" s="351"/>
      <c r="C114" s="346"/>
      <c r="D114" s="351"/>
      <c r="E114" s="353"/>
      <c r="F114" s="353"/>
      <c r="G114" s="353"/>
      <c r="H114" s="353"/>
      <c r="I114" s="333"/>
      <c r="J114" s="333"/>
      <c r="K114" s="333"/>
      <c r="L114" s="333"/>
      <c r="M114" s="332"/>
      <c r="N114" s="333"/>
      <c r="O114" s="332"/>
      <c r="P114" s="333"/>
      <c r="Q114" s="351"/>
      <c r="R114" s="67"/>
      <c r="S114" s="75"/>
      <c r="T114" s="51"/>
      <c r="U114" s="51"/>
      <c r="V114" s="51"/>
      <c r="W114" s="77">
        <f t="shared" si="25"/>
        <v>0</v>
      </c>
      <c r="X114" s="77">
        <f t="shared" si="26"/>
        <v>0</v>
      </c>
      <c r="Y114" s="77">
        <f t="shared" si="27"/>
        <v>0</v>
      </c>
      <c r="Z114" s="51"/>
      <c r="AA114" s="51"/>
    </row>
    <row r="115" spans="1:27" ht="319.5" customHeight="1" x14ac:dyDescent="0.25">
      <c r="A115" s="170" t="s">
        <v>37</v>
      </c>
      <c r="B115" s="182" t="s">
        <v>343</v>
      </c>
      <c r="C115" s="167"/>
      <c r="D115" s="254" t="s">
        <v>403</v>
      </c>
      <c r="E115" s="183">
        <v>44207</v>
      </c>
      <c r="F115" s="183">
        <v>44561</v>
      </c>
      <c r="G115" s="183">
        <v>44207</v>
      </c>
      <c r="H115" s="183"/>
      <c r="I115" s="219">
        <v>4061.6</v>
      </c>
      <c r="J115" s="219">
        <v>4193.1000000000004</v>
      </c>
      <c r="K115" s="227">
        <v>6251.8</v>
      </c>
      <c r="L115" s="239">
        <f>10488.9-J115</f>
        <v>6295.7999999999993</v>
      </c>
      <c r="M115" s="229">
        <v>11338.6</v>
      </c>
      <c r="N115" s="227"/>
      <c r="O115" s="229">
        <v>23702.3</v>
      </c>
      <c r="P115" s="227"/>
      <c r="Q115" s="182"/>
      <c r="R115" s="67"/>
      <c r="S115" s="75">
        <v>20996.3</v>
      </c>
      <c r="T115" s="51"/>
      <c r="U115" s="51"/>
      <c r="V115" s="51"/>
      <c r="W115" s="77">
        <f t="shared" si="25"/>
        <v>45354.3</v>
      </c>
      <c r="X115" s="77">
        <f t="shared" si="26"/>
        <v>10488.9</v>
      </c>
      <c r="Y115" s="77">
        <f t="shared" si="27"/>
        <v>34865.4</v>
      </c>
      <c r="Z115" s="51"/>
      <c r="AA115" s="51"/>
    </row>
    <row r="116" spans="1:27" ht="393.75" customHeight="1" x14ac:dyDescent="0.25">
      <c r="A116" s="146" t="s">
        <v>108</v>
      </c>
      <c r="B116" s="262" t="s">
        <v>344</v>
      </c>
      <c r="C116" s="147"/>
      <c r="D116" s="262" t="s">
        <v>403</v>
      </c>
      <c r="E116" s="261">
        <v>44207</v>
      </c>
      <c r="F116" s="261">
        <v>44561</v>
      </c>
      <c r="G116" s="261">
        <v>44207</v>
      </c>
      <c r="H116" s="261"/>
      <c r="I116" s="260">
        <v>926122.6</v>
      </c>
      <c r="J116" s="260">
        <v>926954.6</v>
      </c>
      <c r="K116" s="260">
        <v>929986</v>
      </c>
      <c r="L116" s="260">
        <f>1907661.4-J116</f>
        <v>980706.79999999993</v>
      </c>
      <c r="M116" s="260">
        <v>1010038.6</v>
      </c>
      <c r="N116" s="260"/>
      <c r="O116" s="260">
        <v>1174007.3</v>
      </c>
      <c r="P116" s="260"/>
      <c r="Q116" s="262"/>
      <c r="R116" s="67"/>
      <c r="S116" s="75">
        <v>3135473.6</v>
      </c>
      <c r="T116" s="51"/>
      <c r="U116" s="51"/>
      <c r="V116" s="51"/>
      <c r="W116" s="77">
        <f t="shared" si="25"/>
        <v>4040154.5</v>
      </c>
      <c r="X116" s="77">
        <f t="shared" si="26"/>
        <v>1907661.4</v>
      </c>
      <c r="Y116" s="77">
        <f t="shared" si="27"/>
        <v>2132493.1</v>
      </c>
      <c r="Z116" s="51"/>
      <c r="AA116" s="51"/>
    </row>
    <row r="117" spans="1:27" ht="408.75" customHeight="1" x14ac:dyDescent="0.25">
      <c r="A117" s="367" t="s">
        <v>109</v>
      </c>
      <c r="B117" s="368" t="s">
        <v>345</v>
      </c>
      <c r="C117" s="369">
        <v>3</v>
      </c>
      <c r="D117" s="368" t="s">
        <v>403</v>
      </c>
      <c r="E117" s="370">
        <v>44207</v>
      </c>
      <c r="F117" s="370">
        <v>44561</v>
      </c>
      <c r="G117" s="370">
        <v>44207</v>
      </c>
      <c r="H117" s="370"/>
      <c r="I117" s="336">
        <v>896700.2</v>
      </c>
      <c r="J117" s="336">
        <v>897172.4</v>
      </c>
      <c r="K117" s="336">
        <v>906909.3</v>
      </c>
      <c r="L117" s="336">
        <f>1817294.2-J117</f>
        <v>920121.79999999993</v>
      </c>
      <c r="M117" s="336">
        <v>962560.6</v>
      </c>
      <c r="N117" s="336"/>
      <c r="O117" s="336">
        <v>1084072.3</v>
      </c>
      <c r="P117" s="336"/>
      <c r="Q117" s="368"/>
      <c r="R117" s="67"/>
      <c r="S117" s="75">
        <v>3566016.8</v>
      </c>
      <c r="T117" s="51"/>
      <c r="U117" s="51"/>
      <c r="V117" s="51"/>
      <c r="W117" s="77">
        <f t="shared" si="25"/>
        <v>3850242.4000000004</v>
      </c>
      <c r="X117" s="77">
        <f t="shared" si="26"/>
        <v>1817294.2</v>
      </c>
      <c r="Y117" s="77">
        <f t="shared" si="27"/>
        <v>2032948.2000000004</v>
      </c>
      <c r="Z117" s="51"/>
      <c r="AA117" s="51"/>
    </row>
    <row r="118" spans="1:27" ht="378" customHeight="1" x14ac:dyDescent="0.25">
      <c r="A118" s="367"/>
      <c r="B118" s="368"/>
      <c r="C118" s="369"/>
      <c r="D118" s="368"/>
      <c r="E118" s="370"/>
      <c r="F118" s="370"/>
      <c r="G118" s="370"/>
      <c r="H118" s="370"/>
      <c r="I118" s="336"/>
      <c r="J118" s="336"/>
      <c r="K118" s="336"/>
      <c r="L118" s="336"/>
      <c r="M118" s="336"/>
      <c r="N118" s="336"/>
      <c r="O118" s="336"/>
      <c r="P118" s="336"/>
      <c r="Q118" s="368"/>
      <c r="R118" s="67"/>
      <c r="S118" s="75"/>
      <c r="T118" s="51"/>
      <c r="U118" s="51"/>
      <c r="V118" s="51"/>
      <c r="W118" s="77">
        <f t="shared" si="25"/>
        <v>0</v>
      </c>
      <c r="X118" s="77">
        <f t="shared" si="26"/>
        <v>0</v>
      </c>
      <c r="Y118" s="77">
        <f t="shared" si="27"/>
        <v>0</v>
      </c>
      <c r="Z118" s="51"/>
      <c r="AA118" s="51"/>
    </row>
    <row r="119" spans="1:27" ht="300" x14ac:dyDescent="0.25">
      <c r="A119" s="146" t="s">
        <v>110</v>
      </c>
      <c r="B119" s="177" t="s">
        <v>346</v>
      </c>
      <c r="C119" s="168">
        <v>3</v>
      </c>
      <c r="D119" s="254" t="s">
        <v>403</v>
      </c>
      <c r="E119" s="185">
        <v>44207</v>
      </c>
      <c r="F119" s="185">
        <v>44561</v>
      </c>
      <c r="G119" s="185">
        <v>44207</v>
      </c>
      <c r="H119" s="185"/>
      <c r="I119" s="220">
        <v>1620655.5</v>
      </c>
      <c r="J119" s="220">
        <v>1621311.2</v>
      </c>
      <c r="K119" s="228">
        <v>1552014.8</v>
      </c>
      <c r="L119" s="240">
        <f>3240295.1-J119</f>
        <v>1618983.9000000001</v>
      </c>
      <c r="M119" s="228">
        <v>1940419.5</v>
      </c>
      <c r="N119" s="228"/>
      <c r="O119" s="233">
        <v>2648588.4</v>
      </c>
      <c r="P119" s="228"/>
      <c r="Q119" s="187"/>
      <c r="R119" s="67"/>
      <c r="S119" s="75">
        <v>2319195.4</v>
      </c>
      <c r="T119" s="51"/>
      <c r="U119" s="51"/>
      <c r="V119" s="51"/>
      <c r="W119" s="77">
        <f t="shared" si="25"/>
        <v>7761678.1999999993</v>
      </c>
      <c r="X119" s="77">
        <f t="shared" si="26"/>
        <v>3240295.1</v>
      </c>
      <c r="Y119" s="77">
        <f t="shared" si="27"/>
        <v>4521383.0999999996</v>
      </c>
      <c r="Z119" s="51"/>
      <c r="AA119" s="51"/>
    </row>
    <row r="120" spans="1:27" ht="168.75" customHeight="1" x14ac:dyDescent="0.25">
      <c r="A120" s="146" t="s">
        <v>247</v>
      </c>
      <c r="B120" s="177" t="s">
        <v>347</v>
      </c>
      <c r="C120" s="168"/>
      <c r="D120" s="254" t="s">
        <v>403</v>
      </c>
      <c r="E120" s="185">
        <v>44207</v>
      </c>
      <c r="F120" s="185">
        <v>44561</v>
      </c>
      <c r="G120" s="185">
        <v>44207</v>
      </c>
      <c r="H120" s="185"/>
      <c r="I120" s="220">
        <v>3766955.2</v>
      </c>
      <c r="J120" s="220">
        <v>3767155.1</v>
      </c>
      <c r="K120" s="228">
        <v>4237614.7</v>
      </c>
      <c r="L120" s="240">
        <f>8566997.5-J120</f>
        <v>4799842.4000000004</v>
      </c>
      <c r="M120" s="229">
        <v>2932039.3</v>
      </c>
      <c r="N120" s="228"/>
      <c r="O120" s="231">
        <v>791547.7</v>
      </c>
      <c r="P120" s="228"/>
      <c r="Q120" s="187"/>
      <c r="R120" s="67"/>
      <c r="S120" s="75"/>
      <c r="T120" s="51"/>
      <c r="U120" s="51"/>
      <c r="V120" s="51"/>
      <c r="W120" s="77">
        <f t="shared" si="25"/>
        <v>11728156.899999999</v>
      </c>
      <c r="X120" s="77">
        <f t="shared" si="26"/>
        <v>8566997.5</v>
      </c>
      <c r="Y120" s="77">
        <f t="shared" si="27"/>
        <v>3161159.3999999985</v>
      </c>
      <c r="Z120" s="51"/>
      <c r="AA120" s="51"/>
    </row>
    <row r="121" spans="1:27" ht="77.25" customHeight="1" x14ac:dyDescent="0.25">
      <c r="A121" s="146" t="s">
        <v>265</v>
      </c>
      <c r="B121" s="262" t="s">
        <v>272</v>
      </c>
      <c r="C121" s="147"/>
      <c r="D121" s="262"/>
      <c r="E121" s="261"/>
      <c r="F121" s="261"/>
      <c r="G121" s="261"/>
      <c r="H121" s="261"/>
      <c r="I121" s="260"/>
      <c r="J121" s="260"/>
      <c r="K121" s="260"/>
      <c r="L121" s="260"/>
      <c r="M121" s="260"/>
      <c r="N121" s="260"/>
      <c r="O121" s="260"/>
      <c r="P121" s="260"/>
      <c r="Q121" s="262"/>
      <c r="R121" s="67"/>
      <c r="S121" s="75"/>
      <c r="T121" s="51"/>
      <c r="U121" s="51"/>
      <c r="V121" s="51"/>
      <c r="W121" s="77"/>
      <c r="X121" s="77"/>
      <c r="Y121" s="77"/>
      <c r="Z121" s="51"/>
      <c r="AA121" s="51"/>
    </row>
    <row r="122" spans="1:27" ht="178.5" customHeight="1" x14ac:dyDescent="0.25">
      <c r="A122" s="146" t="s">
        <v>39</v>
      </c>
      <c r="B122" s="262" t="s">
        <v>348</v>
      </c>
      <c r="C122" s="147"/>
      <c r="D122" s="262" t="s">
        <v>409</v>
      </c>
      <c r="E122" s="261">
        <v>44287</v>
      </c>
      <c r="F122" s="261">
        <v>44377</v>
      </c>
      <c r="G122" s="261"/>
      <c r="H122" s="261"/>
      <c r="I122" s="260">
        <v>0</v>
      </c>
      <c r="J122" s="260">
        <v>0</v>
      </c>
      <c r="K122" s="260">
        <v>0</v>
      </c>
      <c r="L122" s="260">
        <v>0</v>
      </c>
      <c r="M122" s="260">
        <v>17241.400000000001</v>
      </c>
      <c r="N122" s="260"/>
      <c r="O122" s="260">
        <v>0</v>
      </c>
      <c r="P122" s="260"/>
      <c r="Q122" s="262"/>
      <c r="R122" s="67"/>
      <c r="S122" s="75">
        <v>487.5</v>
      </c>
      <c r="T122" s="51"/>
      <c r="U122" s="51"/>
      <c r="V122" s="51"/>
      <c r="W122" s="77">
        <f t="shared" ref="W122:X127" si="28">I122+K122+M122+O122</f>
        <v>17241.400000000001</v>
      </c>
      <c r="X122" s="77">
        <f t="shared" si="28"/>
        <v>0</v>
      </c>
      <c r="Y122" s="77">
        <f t="shared" ref="Y122:Y127" si="29">W122-X122</f>
        <v>17241.400000000001</v>
      </c>
      <c r="Z122" s="51"/>
      <c r="AA122" s="51"/>
    </row>
    <row r="123" spans="1:27" ht="195.75" customHeight="1" x14ac:dyDescent="0.25">
      <c r="A123" s="146" t="s">
        <v>41</v>
      </c>
      <c r="B123" s="177" t="s">
        <v>349</v>
      </c>
      <c r="C123" s="168"/>
      <c r="D123" s="177" t="s">
        <v>420</v>
      </c>
      <c r="E123" s="183">
        <v>44207</v>
      </c>
      <c r="F123" s="183">
        <v>44561</v>
      </c>
      <c r="G123" s="183">
        <v>44207</v>
      </c>
      <c r="H123" s="183"/>
      <c r="I123" s="220">
        <v>14500</v>
      </c>
      <c r="J123" s="220">
        <v>14500</v>
      </c>
      <c r="K123" s="228">
        <v>15500</v>
      </c>
      <c r="L123" s="240">
        <f>38000-J123</f>
        <v>23500</v>
      </c>
      <c r="M123" s="229">
        <v>20998</v>
      </c>
      <c r="N123" s="228"/>
      <c r="O123" s="229">
        <v>28375</v>
      </c>
      <c r="P123" s="228"/>
      <c r="Q123" s="177"/>
      <c r="R123" s="67"/>
      <c r="S123" s="75">
        <v>75900</v>
      </c>
      <c r="T123" s="51"/>
      <c r="U123" s="51"/>
      <c r="V123" s="51"/>
      <c r="W123" s="77">
        <f t="shared" si="28"/>
        <v>79373</v>
      </c>
      <c r="X123" s="77">
        <f t="shared" si="28"/>
        <v>38000</v>
      </c>
      <c r="Y123" s="77">
        <f t="shared" si="29"/>
        <v>41373</v>
      </c>
      <c r="Z123" s="51"/>
      <c r="AA123" s="51"/>
    </row>
    <row r="124" spans="1:27" ht="198" customHeight="1" x14ac:dyDescent="0.25">
      <c r="A124" s="146" t="s">
        <v>43</v>
      </c>
      <c r="B124" s="187" t="s">
        <v>216</v>
      </c>
      <c r="C124" s="147"/>
      <c r="D124" s="254" t="s">
        <v>403</v>
      </c>
      <c r="E124" s="178">
        <v>44207</v>
      </c>
      <c r="F124" s="178">
        <v>44561</v>
      </c>
      <c r="G124" s="178">
        <v>44207</v>
      </c>
      <c r="H124" s="178"/>
      <c r="I124" s="221">
        <v>370036.3</v>
      </c>
      <c r="J124" s="221">
        <v>370070.9</v>
      </c>
      <c r="K124" s="229">
        <v>379703.3</v>
      </c>
      <c r="L124" s="237">
        <f>751077.2-J124</f>
        <v>381006.29999999993</v>
      </c>
      <c r="M124" s="229">
        <v>361881.5</v>
      </c>
      <c r="N124" s="229"/>
      <c r="O124" s="231">
        <v>335905.1</v>
      </c>
      <c r="P124" s="229"/>
      <c r="Q124" s="187"/>
      <c r="R124" s="67"/>
      <c r="S124" s="75">
        <v>1255337.6000000001</v>
      </c>
      <c r="T124" s="51"/>
      <c r="U124" s="51"/>
      <c r="V124" s="51"/>
      <c r="W124" s="77">
        <f t="shared" si="28"/>
        <v>1447526.2000000002</v>
      </c>
      <c r="X124" s="77">
        <f t="shared" si="28"/>
        <v>751077.2</v>
      </c>
      <c r="Y124" s="77">
        <f t="shared" si="29"/>
        <v>696449.00000000023</v>
      </c>
      <c r="Z124" s="51"/>
      <c r="AA124" s="51"/>
    </row>
    <row r="125" spans="1:27" ht="195.75" customHeight="1" x14ac:dyDescent="0.25">
      <c r="A125" s="146" t="s">
        <v>91</v>
      </c>
      <c r="B125" s="187" t="s">
        <v>111</v>
      </c>
      <c r="C125" s="147"/>
      <c r="D125" s="254" t="s">
        <v>420</v>
      </c>
      <c r="E125" s="185">
        <v>44207</v>
      </c>
      <c r="F125" s="185">
        <v>44561</v>
      </c>
      <c r="G125" s="185">
        <v>44207</v>
      </c>
      <c r="H125" s="185"/>
      <c r="I125" s="221">
        <v>4674.5</v>
      </c>
      <c r="J125" s="221">
        <v>4862.5</v>
      </c>
      <c r="K125" s="229">
        <v>7622</v>
      </c>
      <c r="L125" s="237">
        <f>14783.9-J125</f>
        <v>9921.4</v>
      </c>
      <c r="M125" s="229">
        <v>11695.9</v>
      </c>
      <c r="N125" s="229"/>
      <c r="O125" s="231">
        <v>12301.2</v>
      </c>
      <c r="P125" s="229"/>
      <c r="Q125" s="187"/>
      <c r="R125" s="67"/>
      <c r="S125" s="75">
        <v>36089.5</v>
      </c>
      <c r="T125" s="51"/>
      <c r="U125" s="51"/>
      <c r="V125" s="51"/>
      <c r="W125" s="77">
        <f t="shared" si="28"/>
        <v>36293.600000000006</v>
      </c>
      <c r="X125" s="77">
        <f t="shared" si="28"/>
        <v>14783.9</v>
      </c>
      <c r="Y125" s="77">
        <f t="shared" si="29"/>
        <v>21509.700000000004</v>
      </c>
      <c r="Z125" s="51"/>
      <c r="AA125" s="51"/>
    </row>
    <row r="126" spans="1:27" ht="180" customHeight="1" x14ac:dyDescent="0.25">
      <c r="A126" s="146" t="s">
        <v>94</v>
      </c>
      <c r="B126" s="187" t="s">
        <v>369</v>
      </c>
      <c r="C126" s="147"/>
      <c r="D126" s="258" t="s">
        <v>404</v>
      </c>
      <c r="E126" s="185">
        <v>44207</v>
      </c>
      <c r="F126" s="185">
        <v>44561</v>
      </c>
      <c r="G126" s="185">
        <v>44207</v>
      </c>
      <c r="H126" s="185"/>
      <c r="I126" s="221">
        <v>126763.1</v>
      </c>
      <c r="J126" s="221">
        <v>133938.70000000001</v>
      </c>
      <c r="K126" s="229">
        <v>162153.20000000001</v>
      </c>
      <c r="L126" s="237">
        <f>324877-J126</f>
        <v>190938.3</v>
      </c>
      <c r="M126" s="226">
        <v>160348.5</v>
      </c>
      <c r="N126" s="229"/>
      <c r="O126" s="87">
        <v>100316.1</v>
      </c>
      <c r="P126" s="229"/>
      <c r="Q126" s="187"/>
      <c r="R126" s="67"/>
      <c r="S126" s="75">
        <v>419126.2</v>
      </c>
      <c r="T126" s="51"/>
      <c r="U126" s="51"/>
      <c r="V126" s="51"/>
      <c r="W126" s="77">
        <f t="shared" si="28"/>
        <v>549580.9</v>
      </c>
      <c r="X126" s="77">
        <f t="shared" si="28"/>
        <v>324877</v>
      </c>
      <c r="Y126" s="77">
        <f t="shared" si="29"/>
        <v>224703.90000000002</v>
      </c>
      <c r="Z126" s="51"/>
      <c r="AA126" s="51"/>
    </row>
    <row r="127" spans="1:27" ht="77.25" customHeight="1" x14ac:dyDescent="0.25">
      <c r="A127" s="146" t="s">
        <v>95</v>
      </c>
      <c r="B127" s="82" t="s">
        <v>352</v>
      </c>
      <c r="C127" s="147"/>
      <c r="D127" s="187" t="s">
        <v>421</v>
      </c>
      <c r="E127" s="185">
        <v>44207</v>
      </c>
      <c r="F127" s="185">
        <v>44378</v>
      </c>
      <c r="G127" s="257">
        <v>44207</v>
      </c>
      <c r="H127" s="185">
        <v>44286</v>
      </c>
      <c r="I127" s="221">
        <v>0</v>
      </c>
      <c r="J127" s="221">
        <v>0</v>
      </c>
      <c r="K127" s="229">
        <v>0</v>
      </c>
      <c r="L127" s="237">
        <v>0</v>
      </c>
      <c r="M127" s="235">
        <v>266.3</v>
      </c>
      <c r="N127" s="235"/>
      <c r="O127" s="235">
        <v>0</v>
      </c>
      <c r="P127" s="229"/>
      <c r="Q127" s="187"/>
      <c r="R127" s="67"/>
      <c r="S127" s="75"/>
      <c r="T127" s="51"/>
      <c r="U127" s="51"/>
      <c r="V127" s="51"/>
      <c r="W127" s="77">
        <f t="shared" si="28"/>
        <v>266.3</v>
      </c>
      <c r="X127" s="77">
        <f t="shared" si="28"/>
        <v>0</v>
      </c>
      <c r="Y127" s="77">
        <f t="shared" si="29"/>
        <v>266.3</v>
      </c>
      <c r="Z127" s="51"/>
      <c r="AA127" s="51"/>
    </row>
    <row r="128" spans="1:27" ht="141.75" customHeight="1" x14ac:dyDescent="0.25">
      <c r="A128" s="146" t="s">
        <v>44</v>
      </c>
      <c r="B128" s="262" t="s">
        <v>273</v>
      </c>
      <c r="C128" s="147"/>
      <c r="D128" s="262"/>
      <c r="E128" s="261"/>
      <c r="F128" s="261"/>
      <c r="G128" s="261"/>
      <c r="H128" s="261"/>
      <c r="I128" s="260"/>
      <c r="J128" s="260"/>
      <c r="K128" s="260"/>
      <c r="L128" s="260"/>
      <c r="M128" s="260"/>
      <c r="N128" s="260"/>
      <c r="O128" s="260"/>
      <c r="P128" s="260"/>
      <c r="Q128" s="262"/>
      <c r="R128" s="67"/>
      <c r="S128" s="75"/>
      <c r="T128" s="51"/>
      <c r="U128" s="51"/>
      <c r="V128" s="51"/>
      <c r="W128" s="77"/>
      <c r="X128" s="77"/>
      <c r="Y128" s="77"/>
      <c r="Z128" s="51"/>
      <c r="AA128" s="51"/>
    </row>
    <row r="129" spans="1:27" ht="408.75" customHeight="1" x14ac:dyDescent="0.25">
      <c r="A129" s="337" t="s">
        <v>45</v>
      </c>
      <c r="B129" s="350" t="s">
        <v>353</v>
      </c>
      <c r="C129" s="344"/>
      <c r="D129" s="350" t="s">
        <v>420</v>
      </c>
      <c r="E129" s="352">
        <v>44207</v>
      </c>
      <c r="F129" s="352">
        <v>44561</v>
      </c>
      <c r="G129" s="352">
        <v>44207</v>
      </c>
      <c r="H129" s="352"/>
      <c r="I129" s="332">
        <v>461009.9</v>
      </c>
      <c r="J129" s="332">
        <v>500092.8</v>
      </c>
      <c r="K129" s="332">
        <v>369780.4</v>
      </c>
      <c r="L129" s="332">
        <f>989487.2-J129</f>
        <v>489394.39999999997</v>
      </c>
      <c r="M129" s="332">
        <v>493646</v>
      </c>
      <c r="N129" s="332"/>
      <c r="O129" s="332">
        <v>650147.80000000005</v>
      </c>
      <c r="P129" s="332"/>
      <c r="Q129" s="350"/>
      <c r="R129" s="67"/>
      <c r="S129" s="75">
        <v>1845868.9</v>
      </c>
      <c r="T129" s="51"/>
      <c r="U129" s="51"/>
      <c r="V129" s="51"/>
      <c r="W129" s="77">
        <f t="shared" ref="W129:W141" si="30">I129+K129+M129+O129</f>
        <v>1974584.1</v>
      </c>
      <c r="X129" s="77">
        <f t="shared" ref="X129:X141" si="31">J129+L129+N129+P129</f>
        <v>989487.2</v>
      </c>
      <c r="Y129" s="77">
        <f t="shared" ref="Y129:Y141" si="32">W129-X129</f>
        <v>985096.90000000014</v>
      </c>
      <c r="Z129" s="51"/>
      <c r="AA129" s="51"/>
    </row>
    <row r="130" spans="1:27" ht="201" customHeight="1" x14ac:dyDescent="0.25">
      <c r="A130" s="338"/>
      <c r="B130" s="351"/>
      <c r="C130" s="346"/>
      <c r="D130" s="351"/>
      <c r="E130" s="353"/>
      <c r="F130" s="353"/>
      <c r="G130" s="353"/>
      <c r="H130" s="353"/>
      <c r="I130" s="333"/>
      <c r="J130" s="333"/>
      <c r="K130" s="333"/>
      <c r="L130" s="333"/>
      <c r="M130" s="338"/>
      <c r="N130" s="333"/>
      <c r="O130" s="338"/>
      <c r="P130" s="333"/>
      <c r="Q130" s="351"/>
      <c r="R130" s="67"/>
      <c r="S130" s="75"/>
      <c r="T130" s="51"/>
      <c r="U130" s="51"/>
      <c r="V130" s="51"/>
      <c r="W130" s="77">
        <f t="shared" si="30"/>
        <v>0</v>
      </c>
      <c r="X130" s="77">
        <f t="shared" si="31"/>
        <v>0</v>
      </c>
      <c r="Y130" s="77">
        <f t="shared" si="32"/>
        <v>0</v>
      </c>
      <c r="Z130" s="51"/>
      <c r="AA130" s="51"/>
    </row>
    <row r="131" spans="1:27" ht="209.25" customHeight="1" x14ac:dyDescent="0.25">
      <c r="A131" s="169" t="s">
        <v>46</v>
      </c>
      <c r="B131" s="188" t="s">
        <v>368</v>
      </c>
      <c r="C131" s="188"/>
      <c r="D131" s="350" t="s">
        <v>420</v>
      </c>
      <c r="E131" s="178">
        <v>44207</v>
      </c>
      <c r="F131" s="178">
        <v>44561</v>
      </c>
      <c r="G131" s="178">
        <v>44207</v>
      </c>
      <c r="H131" s="178"/>
      <c r="I131" s="218">
        <v>311387.40000000002</v>
      </c>
      <c r="J131" s="218">
        <v>326050.59999999998</v>
      </c>
      <c r="K131" s="226">
        <v>348859.6</v>
      </c>
      <c r="L131" s="238">
        <f>719005.5-J131</f>
        <v>392954.9</v>
      </c>
      <c r="M131" s="226">
        <v>426337.8</v>
      </c>
      <c r="N131" s="226"/>
      <c r="O131" s="226">
        <v>618766.19999999995</v>
      </c>
      <c r="P131" s="226"/>
      <c r="Q131" s="188"/>
      <c r="R131" s="67"/>
      <c r="S131" s="75">
        <v>1530312.3</v>
      </c>
      <c r="T131" s="51"/>
      <c r="U131" s="51"/>
      <c r="V131" s="51"/>
      <c r="W131" s="77">
        <f t="shared" si="30"/>
        <v>1705351</v>
      </c>
      <c r="X131" s="77">
        <f t="shared" si="31"/>
        <v>719005.5</v>
      </c>
      <c r="Y131" s="77">
        <f t="shared" si="32"/>
        <v>986345.5</v>
      </c>
      <c r="Z131" s="51"/>
      <c r="AA131" s="51"/>
    </row>
    <row r="132" spans="1:27" ht="307.5" customHeight="1" x14ac:dyDescent="0.25">
      <c r="A132" s="171"/>
      <c r="B132" s="184" t="s">
        <v>367</v>
      </c>
      <c r="C132" s="171"/>
      <c r="D132" s="351"/>
      <c r="E132" s="171"/>
      <c r="F132" s="171"/>
      <c r="G132" s="171"/>
      <c r="H132" s="171"/>
      <c r="I132" s="216"/>
      <c r="J132" s="216"/>
      <c r="K132" s="225"/>
      <c r="L132" s="236"/>
      <c r="M132" s="228"/>
      <c r="N132" s="225"/>
      <c r="O132" s="228"/>
      <c r="P132" s="225"/>
      <c r="Q132" s="171"/>
      <c r="R132" s="67"/>
      <c r="S132" s="75"/>
      <c r="T132" s="51"/>
      <c r="U132" s="51"/>
      <c r="V132" s="51"/>
      <c r="W132" s="77">
        <f t="shared" si="30"/>
        <v>0</v>
      </c>
      <c r="X132" s="77">
        <f t="shared" si="31"/>
        <v>0</v>
      </c>
      <c r="Y132" s="77">
        <f t="shared" si="32"/>
        <v>0</v>
      </c>
      <c r="Z132" s="51"/>
      <c r="AA132" s="51"/>
    </row>
    <row r="133" spans="1:27" ht="408.75" customHeight="1" x14ac:dyDescent="0.25">
      <c r="A133" s="337" t="s">
        <v>113</v>
      </c>
      <c r="B133" s="350" t="s">
        <v>355</v>
      </c>
      <c r="C133" s="344"/>
      <c r="D133" s="350" t="s">
        <v>420</v>
      </c>
      <c r="E133" s="352">
        <v>44207</v>
      </c>
      <c r="F133" s="352">
        <v>44561</v>
      </c>
      <c r="G133" s="352">
        <v>44207</v>
      </c>
      <c r="H133" s="352"/>
      <c r="I133" s="332">
        <v>1572.5</v>
      </c>
      <c r="J133" s="332">
        <v>1721.3</v>
      </c>
      <c r="K133" s="332">
        <v>1227</v>
      </c>
      <c r="L133" s="332">
        <f>3247.8-J133</f>
        <v>1526.5000000000002</v>
      </c>
      <c r="M133" s="336">
        <v>4100.3</v>
      </c>
      <c r="N133" s="332"/>
      <c r="O133" s="336">
        <v>9501.4</v>
      </c>
      <c r="P133" s="332"/>
      <c r="Q133" s="350"/>
      <c r="R133" s="67"/>
      <c r="S133" s="75">
        <v>7646.6</v>
      </c>
      <c r="T133" s="51"/>
      <c r="U133" s="51"/>
      <c r="V133" s="51"/>
      <c r="W133" s="77">
        <f t="shared" si="30"/>
        <v>16401.2</v>
      </c>
      <c r="X133" s="77">
        <f t="shared" si="31"/>
        <v>3247.8</v>
      </c>
      <c r="Y133" s="77">
        <f t="shared" si="32"/>
        <v>13153.400000000001</v>
      </c>
      <c r="Z133" s="51"/>
      <c r="AA133" s="51"/>
    </row>
    <row r="134" spans="1:27" ht="117" customHeight="1" x14ac:dyDescent="0.25">
      <c r="A134" s="338"/>
      <c r="B134" s="351"/>
      <c r="C134" s="346"/>
      <c r="D134" s="351"/>
      <c r="E134" s="353"/>
      <c r="F134" s="353"/>
      <c r="G134" s="353"/>
      <c r="H134" s="353"/>
      <c r="I134" s="333"/>
      <c r="J134" s="333"/>
      <c r="K134" s="333"/>
      <c r="L134" s="333"/>
      <c r="M134" s="336"/>
      <c r="N134" s="333"/>
      <c r="O134" s="336"/>
      <c r="P134" s="333"/>
      <c r="Q134" s="351"/>
      <c r="R134" s="67"/>
      <c r="S134" s="75"/>
      <c r="T134" s="51"/>
      <c r="U134" s="51"/>
      <c r="V134" s="51"/>
      <c r="W134" s="77">
        <f t="shared" si="30"/>
        <v>0</v>
      </c>
      <c r="X134" s="77">
        <f t="shared" si="31"/>
        <v>0</v>
      </c>
      <c r="Y134" s="77">
        <f t="shared" si="32"/>
        <v>0</v>
      </c>
      <c r="Z134" s="51"/>
      <c r="AA134" s="51"/>
    </row>
    <row r="135" spans="1:27" ht="408.75" customHeight="1" x14ac:dyDescent="0.25">
      <c r="A135" s="146" t="s">
        <v>114</v>
      </c>
      <c r="B135" s="76" t="s">
        <v>356</v>
      </c>
      <c r="C135" s="76"/>
      <c r="D135" s="76" t="s">
        <v>420</v>
      </c>
      <c r="E135" s="185">
        <v>44207</v>
      </c>
      <c r="F135" s="185">
        <v>44561</v>
      </c>
      <c r="G135" s="185">
        <v>44207</v>
      </c>
      <c r="H135" s="185"/>
      <c r="I135" s="221">
        <v>1817.7</v>
      </c>
      <c r="J135" s="221">
        <v>1822.4</v>
      </c>
      <c r="K135" s="229">
        <v>1578.5</v>
      </c>
      <c r="L135" s="237">
        <f>3638.5-J135</f>
        <v>1816.1</v>
      </c>
      <c r="M135" s="235">
        <v>5186.1000000000004</v>
      </c>
      <c r="N135" s="229"/>
      <c r="O135" s="235">
        <v>12162.3</v>
      </c>
      <c r="P135" s="229"/>
      <c r="Q135" s="76"/>
      <c r="R135" s="67"/>
      <c r="S135" s="75">
        <v>9563.6</v>
      </c>
      <c r="T135" s="51"/>
      <c r="U135" s="51"/>
      <c r="V135" s="51"/>
      <c r="W135" s="77">
        <f t="shared" si="30"/>
        <v>20744.599999999999</v>
      </c>
      <c r="X135" s="77">
        <f t="shared" si="31"/>
        <v>3638.5</v>
      </c>
      <c r="Y135" s="77">
        <f t="shared" si="32"/>
        <v>17106.099999999999</v>
      </c>
      <c r="Z135" s="51"/>
      <c r="AA135" s="51"/>
    </row>
    <row r="136" spans="1:27" ht="408.75" customHeight="1" x14ac:dyDescent="0.25">
      <c r="A136" s="337" t="s">
        <v>115</v>
      </c>
      <c r="B136" s="350" t="s">
        <v>357</v>
      </c>
      <c r="C136" s="344"/>
      <c r="D136" s="350" t="s">
        <v>422</v>
      </c>
      <c r="E136" s="352">
        <v>44207</v>
      </c>
      <c r="F136" s="352">
        <v>44561</v>
      </c>
      <c r="G136" s="352">
        <v>44207</v>
      </c>
      <c r="H136" s="352"/>
      <c r="I136" s="332">
        <v>67776.399999999994</v>
      </c>
      <c r="J136" s="332">
        <v>71871.5</v>
      </c>
      <c r="K136" s="332">
        <v>83959.9</v>
      </c>
      <c r="L136" s="332">
        <f>163348.1-J136</f>
        <v>91476.6</v>
      </c>
      <c r="M136" s="332">
        <v>97152.9</v>
      </c>
      <c r="N136" s="332"/>
      <c r="O136" s="332">
        <v>139722.5</v>
      </c>
      <c r="P136" s="332"/>
      <c r="Q136" s="350"/>
      <c r="R136" s="67"/>
      <c r="S136" s="75">
        <v>295508.7</v>
      </c>
      <c r="T136" s="51"/>
      <c r="U136" s="51"/>
      <c r="V136" s="51"/>
      <c r="W136" s="77">
        <f t="shared" si="30"/>
        <v>388611.69999999995</v>
      </c>
      <c r="X136" s="77">
        <f t="shared" si="31"/>
        <v>163348.1</v>
      </c>
      <c r="Y136" s="77">
        <f t="shared" si="32"/>
        <v>225263.59999999995</v>
      </c>
      <c r="Z136" s="51"/>
      <c r="AA136" s="51"/>
    </row>
    <row r="137" spans="1:27" ht="320.25" customHeight="1" x14ac:dyDescent="0.25">
      <c r="A137" s="338"/>
      <c r="B137" s="351"/>
      <c r="C137" s="346"/>
      <c r="D137" s="351"/>
      <c r="E137" s="353"/>
      <c r="F137" s="353"/>
      <c r="G137" s="353"/>
      <c r="H137" s="353"/>
      <c r="I137" s="333"/>
      <c r="J137" s="333"/>
      <c r="K137" s="333"/>
      <c r="L137" s="333"/>
      <c r="M137" s="382"/>
      <c r="N137" s="333"/>
      <c r="O137" s="382"/>
      <c r="P137" s="333"/>
      <c r="Q137" s="351"/>
      <c r="R137" s="67"/>
      <c r="S137" s="75"/>
      <c r="T137" s="51"/>
      <c r="U137" s="51"/>
      <c r="V137" s="51"/>
      <c r="W137" s="77">
        <f t="shared" si="30"/>
        <v>0</v>
      </c>
      <c r="X137" s="77">
        <f t="shared" si="31"/>
        <v>0</v>
      </c>
      <c r="Y137" s="77">
        <f t="shared" si="32"/>
        <v>0</v>
      </c>
      <c r="Z137" s="51"/>
      <c r="AA137" s="51"/>
    </row>
    <row r="138" spans="1:27" ht="291" customHeight="1" x14ac:dyDescent="0.25">
      <c r="A138" s="169" t="s">
        <v>116</v>
      </c>
      <c r="B138" s="188" t="s">
        <v>366</v>
      </c>
      <c r="C138" s="188"/>
      <c r="D138" s="188" t="s">
        <v>423</v>
      </c>
      <c r="E138" s="178">
        <v>44207</v>
      </c>
      <c r="F138" s="178">
        <v>44561</v>
      </c>
      <c r="G138" s="178">
        <v>44207</v>
      </c>
      <c r="H138" s="178"/>
      <c r="I138" s="218">
        <v>4741.7</v>
      </c>
      <c r="J138" s="218">
        <v>5028.6000000000004</v>
      </c>
      <c r="K138" s="226">
        <v>5693.3</v>
      </c>
      <c r="L138" s="238">
        <f>11537.6-J138</f>
        <v>6509</v>
      </c>
      <c r="M138" s="226">
        <v>7003.7</v>
      </c>
      <c r="N138" s="226"/>
      <c r="O138" s="226">
        <v>10576.1</v>
      </c>
      <c r="P138" s="226"/>
      <c r="Q138" s="188"/>
      <c r="R138" s="67"/>
      <c r="S138" s="75">
        <v>26260.5</v>
      </c>
      <c r="T138" s="51"/>
      <c r="U138" s="51"/>
      <c r="V138" s="51"/>
      <c r="W138" s="77">
        <f t="shared" si="30"/>
        <v>28014.800000000003</v>
      </c>
      <c r="X138" s="77">
        <f t="shared" si="31"/>
        <v>11537.6</v>
      </c>
      <c r="Y138" s="77">
        <f t="shared" si="32"/>
        <v>16477.200000000004</v>
      </c>
      <c r="Z138" s="51"/>
      <c r="AA138" s="51"/>
    </row>
    <row r="139" spans="1:27" ht="157.5" customHeight="1" x14ac:dyDescent="0.25">
      <c r="A139" s="90"/>
      <c r="B139" s="89" t="s">
        <v>365</v>
      </c>
      <c r="C139" s="90"/>
      <c r="D139" s="90"/>
      <c r="E139" s="90"/>
      <c r="F139" s="90"/>
      <c r="G139" s="90"/>
      <c r="H139" s="90"/>
      <c r="I139" s="90"/>
      <c r="J139" s="90"/>
      <c r="K139" s="90"/>
      <c r="L139" s="241"/>
      <c r="M139" s="228"/>
      <c r="N139" s="90"/>
      <c r="O139" s="228"/>
      <c r="P139" s="90"/>
      <c r="Q139" s="90"/>
      <c r="R139" s="67"/>
      <c r="S139" s="75"/>
      <c r="T139" s="51"/>
      <c r="U139" s="51"/>
      <c r="V139" s="51"/>
      <c r="W139" s="77">
        <f t="shared" si="30"/>
        <v>0</v>
      </c>
      <c r="X139" s="77">
        <f t="shared" si="31"/>
        <v>0</v>
      </c>
      <c r="Y139" s="77">
        <f t="shared" si="32"/>
        <v>0</v>
      </c>
      <c r="Z139" s="51"/>
      <c r="AA139" s="51"/>
    </row>
    <row r="140" spans="1:27" ht="312.75" customHeight="1" x14ac:dyDescent="0.25">
      <c r="A140" s="337" t="s">
        <v>117</v>
      </c>
      <c r="B140" s="350" t="s">
        <v>359</v>
      </c>
      <c r="C140" s="344"/>
      <c r="D140" s="350" t="s">
        <v>424</v>
      </c>
      <c r="E140" s="352">
        <v>44207</v>
      </c>
      <c r="F140" s="352">
        <v>44561</v>
      </c>
      <c r="G140" s="352">
        <v>44207</v>
      </c>
      <c r="H140" s="352"/>
      <c r="I140" s="332">
        <v>33188.699999999997</v>
      </c>
      <c r="J140" s="332">
        <v>35110.5</v>
      </c>
      <c r="K140" s="332">
        <v>38688.1</v>
      </c>
      <c r="L140" s="332">
        <f>78191-J140</f>
        <v>43080.5</v>
      </c>
      <c r="M140" s="336">
        <v>45601.2</v>
      </c>
      <c r="N140" s="336"/>
      <c r="O140" s="336">
        <v>64926.8</v>
      </c>
      <c r="P140" s="332"/>
      <c r="Q140" s="350"/>
      <c r="R140" s="67"/>
      <c r="S140" s="75">
        <v>129133.2</v>
      </c>
      <c r="T140" s="51"/>
      <c r="U140" s="51"/>
      <c r="V140" s="51"/>
      <c r="W140" s="77">
        <f t="shared" si="30"/>
        <v>182404.8</v>
      </c>
      <c r="X140" s="77">
        <f t="shared" si="31"/>
        <v>78191</v>
      </c>
      <c r="Y140" s="77">
        <f t="shared" si="32"/>
        <v>104213.79999999999</v>
      </c>
      <c r="Z140" s="51"/>
      <c r="AA140" s="51"/>
    </row>
    <row r="141" spans="1:27" ht="61.5" customHeight="1" x14ac:dyDescent="0.25">
      <c r="A141" s="338"/>
      <c r="B141" s="351"/>
      <c r="C141" s="346"/>
      <c r="D141" s="351"/>
      <c r="E141" s="353"/>
      <c r="F141" s="353"/>
      <c r="G141" s="353"/>
      <c r="H141" s="353"/>
      <c r="I141" s="333"/>
      <c r="J141" s="333"/>
      <c r="K141" s="333"/>
      <c r="L141" s="333"/>
      <c r="M141" s="336"/>
      <c r="N141" s="336"/>
      <c r="O141" s="336"/>
      <c r="P141" s="333"/>
      <c r="Q141" s="351"/>
      <c r="R141" s="67"/>
      <c r="S141" s="75"/>
      <c r="T141" s="51"/>
      <c r="U141" s="51"/>
      <c r="V141" s="51"/>
      <c r="W141" s="77">
        <f t="shared" si="30"/>
        <v>0</v>
      </c>
      <c r="X141" s="77">
        <f t="shared" si="31"/>
        <v>0</v>
      </c>
      <c r="Y141" s="77">
        <f t="shared" si="32"/>
        <v>0</v>
      </c>
      <c r="Z141" s="51"/>
      <c r="AA141" s="51"/>
    </row>
    <row r="142" spans="1:27" ht="96.75" customHeight="1" x14ac:dyDescent="0.25">
      <c r="A142" s="146" t="s">
        <v>274</v>
      </c>
      <c r="B142" s="262" t="s">
        <v>275</v>
      </c>
      <c r="C142" s="147"/>
      <c r="D142" s="262"/>
      <c r="E142" s="261"/>
      <c r="F142" s="261"/>
      <c r="G142" s="261"/>
      <c r="H142" s="261"/>
      <c r="I142" s="260"/>
      <c r="J142" s="260"/>
      <c r="K142" s="260"/>
      <c r="L142" s="260"/>
      <c r="M142" s="260"/>
      <c r="N142" s="260"/>
      <c r="O142" s="260"/>
      <c r="P142" s="260"/>
      <c r="Q142" s="262"/>
      <c r="R142" s="67"/>
      <c r="S142" s="75"/>
      <c r="T142" s="51"/>
      <c r="U142" s="51"/>
      <c r="V142" s="51"/>
      <c r="W142" s="77"/>
      <c r="X142" s="77"/>
      <c r="Y142" s="77"/>
      <c r="Z142" s="51"/>
      <c r="AA142" s="51"/>
    </row>
    <row r="143" spans="1:27" ht="382.5" customHeight="1" x14ac:dyDescent="0.25">
      <c r="A143" s="367" t="s">
        <v>118</v>
      </c>
      <c r="B143" s="368" t="s">
        <v>360</v>
      </c>
      <c r="C143" s="369"/>
      <c r="D143" s="368" t="s">
        <v>425</v>
      </c>
      <c r="E143" s="370">
        <v>44287</v>
      </c>
      <c r="F143" s="370">
        <v>44561</v>
      </c>
      <c r="G143" s="370">
        <v>44287</v>
      </c>
      <c r="H143" s="370"/>
      <c r="I143" s="336">
        <v>0</v>
      </c>
      <c r="J143" s="336">
        <v>0</v>
      </c>
      <c r="K143" s="336">
        <v>0</v>
      </c>
      <c r="L143" s="336">
        <v>0</v>
      </c>
      <c r="M143" s="336">
        <v>195.9</v>
      </c>
      <c r="N143" s="336"/>
      <c r="O143" s="336">
        <v>195.9</v>
      </c>
      <c r="P143" s="336"/>
      <c r="Q143" s="368"/>
      <c r="R143" s="67"/>
      <c r="S143" s="75">
        <v>182.1</v>
      </c>
      <c r="T143" s="51"/>
      <c r="U143" s="51"/>
      <c r="V143" s="51"/>
      <c r="W143" s="77">
        <f>I143+K143+M143+O143</f>
        <v>391.8</v>
      </c>
      <c r="X143" s="77">
        <f>J143+L143+N143+P143</f>
        <v>0</v>
      </c>
      <c r="Y143" s="77">
        <f>W143-X143</f>
        <v>391.8</v>
      </c>
      <c r="Z143" s="51"/>
      <c r="AA143" s="51"/>
    </row>
    <row r="144" spans="1:27" ht="98.25" customHeight="1" x14ac:dyDescent="0.25">
      <c r="A144" s="367"/>
      <c r="B144" s="368"/>
      <c r="C144" s="369"/>
      <c r="D144" s="368"/>
      <c r="E144" s="370"/>
      <c r="F144" s="370"/>
      <c r="G144" s="370"/>
      <c r="H144" s="370"/>
      <c r="I144" s="336"/>
      <c r="J144" s="336"/>
      <c r="K144" s="336"/>
      <c r="L144" s="336"/>
      <c r="M144" s="336"/>
      <c r="N144" s="336"/>
      <c r="O144" s="336"/>
      <c r="P144" s="336"/>
      <c r="Q144" s="368"/>
      <c r="R144" s="67"/>
      <c r="S144" s="75"/>
      <c r="T144" s="51"/>
      <c r="U144" s="51"/>
      <c r="V144" s="51"/>
      <c r="W144" s="77">
        <f>I144+K144+M144+O144</f>
        <v>0</v>
      </c>
      <c r="X144" s="77">
        <f>J144+L144+N144+P144</f>
        <v>0</v>
      </c>
      <c r="Y144" s="77">
        <f>W144-X144</f>
        <v>0</v>
      </c>
      <c r="Z144" s="51"/>
      <c r="AA144" s="51"/>
    </row>
    <row r="145" spans="1:27" ht="341.25" customHeight="1" x14ac:dyDescent="0.25">
      <c r="A145" s="170" t="s">
        <v>276</v>
      </c>
      <c r="B145" s="182" t="s">
        <v>277</v>
      </c>
      <c r="C145" s="167"/>
      <c r="D145" s="182"/>
      <c r="E145" s="183"/>
      <c r="F145" s="183"/>
      <c r="G145" s="183"/>
      <c r="H145" s="183"/>
      <c r="I145" s="219"/>
      <c r="J145" s="219"/>
      <c r="K145" s="227"/>
      <c r="L145" s="239"/>
      <c r="M145" s="229"/>
      <c r="N145" s="227"/>
      <c r="O145" s="229"/>
      <c r="P145" s="227"/>
      <c r="Q145" s="182"/>
      <c r="R145" s="67"/>
      <c r="S145" s="75"/>
      <c r="T145" s="51"/>
      <c r="U145" s="51"/>
      <c r="V145" s="51"/>
      <c r="W145" s="77"/>
      <c r="X145" s="77"/>
      <c r="Y145" s="77"/>
      <c r="Z145" s="51"/>
      <c r="AA145" s="51"/>
    </row>
    <row r="146" spans="1:27" ht="141.75" customHeight="1" x14ac:dyDescent="0.25">
      <c r="A146" s="337" t="s">
        <v>53</v>
      </c>
      <c r="B146" s="350" t="s">
        <v>217</v>
      </c>
      <c r="C146" s="394"/>
      <c r="D146" s="397" t="s">
        <v>426</v>
      </c>
      <c r="E146" s="352">
        <v>44207</v>
      </c>
      <c r="F146" s="352">
        <v>44561</v>
      </c>
      <c r="G146" s="352">
        <v>44207</v>
      </c>
      <c r="H146" s="352"/>
      <c r="I146" s="332">
        <v>2902.5</v>
      </c>
      <c r="J146" s="332">
        <v>3643.4</v>
      </c>
      <c r="K146" s="332">
        <v>5520.2</v>
      </c>
      <c r="L146" s="332">
        <f>10930.4-J146</f>
        <v>7287</v>
      </c>
      <c r="M146" s="336">
        <v>6516.7</v>
      </c>
      <c r="N146" s="332"/>
      <c r="O146" s="336">
        <v>11127.4</v>
      </c>
      <c r="P146" s="332"/>
      <c r="Q146" s="350"/>
      <c r="R146" s="67"/>
      <c r="S146" s="75">
        <v>1700</v>
      </c>
      <c r="T146" s="51"/>
      <c r="U146" s="51"/>
      <c r="V146" s="51"/>
      <c r="W146" s="77">
        <f t="shared" ref="W146:X148" si="33">I146+K146+M146+O146</f>
        <v>26066.800000000003</v>
      </c>
      <c r="X146" s="77">
        <f t="shared" si="33"/>
        <v>10930.4</v>
      </c>
      <c r="Y146" s="77">
        <f>W146-X146</f>
        <v>15136.400000000003</v>
      </c>
      <c r="Z146" s="51"/>
      <c r="AA146" s="51"/>
    </row>
    <row r="147" spans="1:27" ht="195.75" customHeight="1" x14ac:dyDescent="0.25">
      <c r="A147" s="343"/>
      <c r="B147" s="372"/>
      <c r="C147" s="395"/>
      <c r="D147" s="398"/>
      <c r="E147" s="373"/>
      <c r="F147" s="373"/>
      <c r="G147" s="373"/>
      <c r="H147" s="373"/>
      <c r="I147" s="371"/>
      <c r="J147" s="371"/>
      <c r="K147" s="371"/>
      <c r="L147" s="371"/>
      <c r="M147" s="336"/>
      <c r="N147" s="371"/>
      <c r="O147" s="336"/>
      <c r="P147" s="371"/>
      <c r="Q147" s="372"/>
      <c r="R147" s="67"/>
      <c r="S147" s="75"/>
      <c r="T147" s="51"/>
      <c r="U147" s="51"/>
      <c r="V147" s="51"/>
      <c r="W147" s="77">
        <f t="shared" si="33"/>
        <v>0</v>
      </c>
      <c r="X147" s="77">
        <f t="shared" si="33"/>
        <v>0</v>
      </c>
      <c r="Y147" s="77">
        <f>W147-X147</f>
        <v>0</v>
      </c>
      <c r="Z147" s="51"/>
      <c r="AA147" s="51"/>
    </row>
    <row r="148" spans="1:27" ht="71.25" customHeight="1" x14ac:dyDescent="0.25">
      <c r="A148" s="338"/>
      <c r="B148" s="351"/>
      <c r="C148" s="396"/>
      <c r="D148" s="399"/>
      <c r="E148" s="353"/>
      <c r="F148" s="353"/>
      <c r="G148" s="353"/>
      <c r="H148" s="353"/>
      <c r="I148" s="333"/>
      <c r="J148" s="333"/>
      <c r="K148" s="333"/>
      <c r="L148" s="333"/>
      <c r="M148" s="336"/>
      <c r="N148" s="333"/>
      <c r="O148" s="336"/>
      <c r="P148" s="333"/>
      <c r="Q148" s="351"/>
      <c r="R148" s="67"/>
      <c r="S148" s="75"/>
      <c r="T148" s="51"/>
      <c r="U148" s="51"/>
      <c r="V148" s="51"/>
      <c r="W148" s="77">
        <f t="shared" si="33"/>
        <v>0</v>
      </c>
      <c r="X148" s="77">
        <f t="shared" si="33"/>
        <v>0</v>
      </c>
      <c r="Y148" s="77">
        <f>W148-X148</f>
        <v>0</v>
      </c>
      <c r="Z148" s="51"/>
      <c r="AA148" s="51"/>
    </row>
    <row r="149" spans="1:27" ht="180.75" customHeight="1" x14ac:dyDescent="0.25">
      <c r="A149" s="146"/>
      <c r="B149" s="262" t="s">
        <v>218</v>
      </c>
      <c r="C149" s="147" t="s">
        <v>24</v>
      </c>
      <c r="D149" s="262" t="s">
        <v>427</v>
      </c>
      <c r="E149" s="148" t="s">
        <v>24</v>
      </c>
      <c r="F149" s="261">
        <v>44561</v>
      </c>
      <c r="G149" s="148" t="s">
        <v>24</v>
      </c>
      <c r="H149" s="261"/>
      <c r="I149" s="260" t="s">
        <v>24</v>
      </c>
      <c r="J149" s="260" t="s">
        <v>24</v>
      </c>
      <c r="K149" s="260" t="s">
        <v>24</v>
      </c>
      <c r="L149" s="260" t="s">
        <v>24</v>
      </c>
      <c r="M149" s="148" t="s">
        <v>24</v>
      </c>
      <c r="N149" s="260" t="s">
        <v>24</v>
      </c>
      <c r="O149" s="148" t="s">
        <v>24</v>
      </c>
      <c r="P149" s="260" t="s">
        <v>24</v>
      </c>
      <c r="Q149" s="260"/>
      <c r="R149" s="67"/>
      <c r="S149" s="75"/>
      <c r="T149" s="51"/>
      <c r="U149" s="51"/>
      <c r="V149" s="51"/>
      <c r="W149" s="77"/>
      <c r="X149" s="77"/>
      <c r="Y149" s="77"/>
      <c r="Z149" s="51"/>
      <c r="AA149" s="51"/>
    </row>
    <row r="150" spans="1:27" ht="135.75" customHeight="1" x14ac:dyDescent="0.25">
      <c r="A150" s="97"/>
      <c r="B150" s="188" t="s">
        <v>219</v>
      </c>
      <c r="C150" s="166" t="s">
        <v>24</v>
      </c>
      <c r="D150" s="390" t="s">
        <v>428</v>
      </c>
      <c r="E150" s="180" t="s">
        <v>24</v>
      </c>
      <c r="F150" s="178">
        <v>44561</v>
      </c>
      <c r="G150" s="180" t="s">
        <v>24</v>
      </c>
      <c r="H150" s="178"/>
      <c r="I150" s="218" t="s">
        <v>24</v>
      </c>
      <c r="J150" s="218" t="s">
        <v>24</v>
      </c>
      <c r="K150" s="226" t="s">
        <v>24</v>
      </c>
      <c r="L150" s="238" t="s">
        <v>24</v>
      </c>
      <c r="M150" s="392" t="s">
        <v>24</v>
      </c>
      <c r="N150" s="226" t="s">
        <v>24</v>
      </c>
      <c r="O150" s="392" t="s">
        <v>24</v>
      </c>
      <c r="P150" s="87" t="s">
        <v>24</v>
      </c>
      <c r="Q150" s="175"/>
      <c r="R150" s="67"/>
      <c r="S150" s="75"/>
      <c r="T150" s="51"/>
      <c r="U150" s="51"/>
      <c r="V150" s="51"/>
      <c r="W150" s="77"/>
      <c r="X150" s="77"/>
      <c r="Y150" s="77"/>
      <c r="Z150" s="51"/>
      <c r="AA150" s="51"/>
    </row>
    <row r="151" spans="1:27" ht="388.5" customHeight="1" x14ac:dyDescent="0.25">
      <c r="A151" s="90"/>
      <c r="B151" s="89"/>
      <c r="C151" s="168"/>
      <c r="D151" s="391"/>
      <c r="E151" s="181"/>
      <c r="F151" s="181"/>
      <c r="G151" s="181"/>
      <c r="H151" s="181"/>
      <c r="I151" s="223"/>
      <c r="J151" s="223"/>
      <c r="K151" s="230"/>
      <c r="L151" s="242"/>
      <c r="M151" s="393"/>
      <c r="N151" s="230"/>
      <c r="O151" s="393"/>
      <c r="P151" s="230"/>
      <c r="Q151" s="181"/>
      <c r="R151" s="67"/>
      <c r="S151" s="75"/>
      <c r="T151" s="51"/>
      <c r="U151" s="51"/>
      <c r="V151" s="51"/>
      <c r="W151" s="77">
        <f>I151+K151+M151+O151</f>
        <v>0</v>
      </c>
      <c r="X151" s="77">
        <f>J151+L151+N151+P151</f>
        <v>0</v>
      </c>
      <c r="Y151" s="77">
        <f>W151-X151</f>
        <v>0</v>
      </c>
      <c r="Z151" s="51"/>
      <c r="AA151" s="51"/>
    </row>
    <row r="152" spans="1:27" ht="61.5" customHeight="1" x14ac:dyDescent="0.3">
      <c r="A152" s="98"/>
      <c r="B152" s="383" t="s">
        <v>220</v>
      </c>
      <c r="C152" s="384"/>
      <c r="D152" s="384"/>
      <c r="E152" s="385"/>
      <c r="F152" s="385"/>
      <c r="G152" s="385"/>
      <c r="H152" s="386"/>
      <c r="I152" s="96">
        <f>I10+I12+I70+I97-0.1</f>
        <v>16395397.500000004</v>
      </c>
      <c r="J152" s="96">
        <f t="shared" ref="J152:P152" si="34">J12+J70+J97+J11</f>
        <v>16931144.199999999</v>
      </c>
      <c r="K152" s="96">
        <f>K12+K70+K97+K11+0.1</f>
        <v>17318693.5</v>
      </c>
      <c r="L152" s="96">
        <f t="shared" si="34"/>
        <v>18136535</v>
      </c>
      <c r="M152" s="234">
        <f t="shared" si="34"/>
        <v>16557271.900000002</v>
      </c>
      <c r="N152" s="96">
        <f t="shared" si="34"/>
        <v>0</v>
      </c>
      <c r="O152" s="265">
        <f t="shared" si="34"/>
        <v>18113140.999999996</v>
      </c>
      <c r="P152" s="96">
        <f t="shared" si="34"/>
        <v>0</v>
      </c>
      <c r="Q152" s="177"/>
      <c r="R152" s="67">
        <f>I152+K152+M152+O152</f>
        <v>68384503.900000006</v>
      </c>
      <c r="S152" s="68"/>
      <c r="T152" s="51"/>
      <c r="U152" s="51"/>
      <c r="V152" s="51"/>
      <c r="W152" s="77">
        <f>I152+K152+M152+O152</f>
        <v>68384503.900000006</v>
      </c>
      <c r="X152" s="77">
        <f>X97+X70+X12+X11</f>
        <v>35067679.200000003</v>
      </c>
      <c r="Y152" s="77">
        <f>W152-X152</f>
        <v>33316824.700000003</v>
      </c>
      <c r="Z152" s="51"/>
      <c r="AA152" s="51"/>
    </row>
    <row r="153" spans="1:27" ht="33" customHeight="1" x14ac:dyDescent="0.25">
      <c r="A153" s="387"/>
      <c r="B153" s="387"/>
      <c r="C153" s="387"/>
      <c r="D153" s="387"/>
      <c r="E153" s="387"/>
      <c r="F153" s="387"/>
      <c r="G153" s="387"/>
      <c r="H153" s="387"/>
      <c r="I153" s="387"/>
      <c r="J153" s="387"/>
      <c r="K153" s="387"/>
      <c r="L153" s="387"/>
      <c r="M153" s="388"/>
      <c r="N153" s="387"/>
      <c r="O153" s="388"/>
      <c r="P153" s="387"/>
      <c r="Q153" s="387"/>
      <c r="R153" s="67"/>
      <c r="S153" s="68"/>
      <c r="T153" s="51"/>
      <c r="U153" s="51"/>
      <c r="V153" s="51"/>
      <c r="W153" s="61"/>
      <c r="X153" s="61"/>
      <c r="Y153" s="61"/>
      <c r="Z153" s="51"/>
      <c r="AA153" s="51"/>
    </row>
    <row r="154" spans="1:27" ht="28.5" customHeight="1" x14ac:dyDescent="0.35">
      <c r="A154" s="389" t="s">
        <v>244</v>
      </c>
      <c r="B154" s="389"/>
      <c r="C154" s="389"/>
      <c r="D154" s="389"/>
      <c r="E154" s="99"/>
      <c r="F154" s="99"/>
      <c r="G154" s="99"/>
      <c r="H154" s="99"/>
      <c r="I154" s="100"/>
      <c r="J154" s="100"/>
      <c r="K154" s="100"/>
      <c r="L154" s="100"/>
      <c r="M154" s="100"/>
      <c r="N154" s="100"/>
      <c r="O154" s="100"/>
      <c r="P154" s="100"/>
      <c r="Q154" s="92"/>
      <c r="R154" s="67"/>
      <c r="S154" s="68"/>
      <c r="T154" s="51"/>
      <c r="U154" s="51"/>
      <c r="V154" s="51"/>
      <c r="W154" s="61"/>
      <c r="X154" s="61"/>
      <c r="Y154" s="61"/>
      <c r="Z154" s="51"/>
      <c r="AA154" s="51"/>
    </row>
    <row r="155" spans="1:27" ht="73.5" customHeight="1" x14ac:dyDescent="0.4">
      <c r="A155" s="389"/>
      <c r="B155" s="389"/>
      <c r="C155" s="389"/>
      <c r="D155" s="389"/>
      <c r="E155" s="63"/>
      <c r="F155" s="63"/>
      <c r="G155" s="63"/>
      <c r="H155" s="63"/>
      <c r="I155" s="101"/>
      <c r="J155" s="101"/>
      <c r="K155" s="101"/>
      <c r="L155" s="101"/>
      <c r="M155" s="101"/>
      <c r="N155" s="101"/>
      <c r="O155" s="101"/>
      <c r="P155" s="101"/>
      <c r="Q155" s="102" t="s">
        <v>221</v>
      </c>
      <c r="R155" s="103"/>
      <c r="S155" s="104"/>
      <c r="T155" s="105"/>
      <c r="U155" s="51"/>
      <c r="V155" s="51"/>
      <c r="W155" s="61"/>
      <c r="X155" s="77"/>
      <c r="Y155" s="61"/>
      <c r="Z155" s="51"/>
      <c r="AA155" s="51"/>
    </row>
    <row r="156" spans="1:27" ht="46.5" customHeight="1" x14ac:dyDescent="0.4">
      <c r="A156" s="63"/>
      <c r="B156" s="63"/>
      <c r="C156" s="63"/>
      <c r="D156" s="63"/>
      <c r="E156" s="63"/>
      <c r="F156" s="63"/>
      <c r="G156" s="63"/>
      <c r="H156" s="63"/>
      <c r="I156" s="101"/>
      <c r="J156" s="101"/>
      <c r="K156" s="101"/>
      <c r="L156" s="101"/>
      <c r="M156" s="101"/>
      <c r="N156" s="101"/>
      <c r="O156" s="101"/>
      <c r="P156" s="101"/>
      <c r="Q156" s="106"/>
      <c r="R156" s="103"/>
      <c r="S156" s="104"/>
      <c r="T156" s="105"/>
      <c r="U156" s="51"/>
      <c r="V156" s="51"/>
      <c r="W156" s="61"/>
      <c r="X156" s="61"/>
      <c r="Y156" s="61"/>
      <c r="Z156" s="51"/>
      <c r="AA156" s="51"/>
    </row>
    <row r="157" spans="1:27" ht="24.75" customHeight="1" x14ac:dyDescent="0.3">
      <c r="C157" s="74"/>
      <c r="D157" s="107"/>
      <c r="E157" s="74"/>
      <c r="F157" s="74"/>
      <c r="G157" s="74"/>
      <c r="H157" s="74"/>
      <c r="I157" s="101"/>
      <c r="J157" s="101"/>
      <c r="K157" s="101"/>
      <c r="L157" s="101"/>
      <c r="M157" s="101"/>
      <c r="N157" s="101"/>
      <c r="O157" s="101"/>
      <c r="P157" s="101"/>
      <c r="Q157" s="92"/>
      <c r="R157" s="67"/>
      <c r="S157" s="68"/>
      <c r="T157" s="51"/>
      <c r="U157" s="51"/>
      <c r="V157" s="51"/>
      <c r="W157" s="61"/>
      <c r="X157" s="61"/>
      <c r="Y157" s="61"/>
      <c r="Z157" s="51"/>
      <c r="AA157" s="51"/>
    </row>
    <row r="158" spans="1:27" ht="23.25" customHeight="1" x14ac:dyDescent="0.25">
      <c r="C158" s="51"/>
      <c r="D158" s="51"/>
      <c r="E158" s="51"/>
      <c r="F158" s="61"/>
      <c r="G158" s="61"/>
      <c r="H158" s="61"/>
      <c r="I158" s="51"/>
      <c r="J158" s="51"/>
    </row>
    <row r="159" spans="1:27" ht="18.75" x14ac:dyDescent="0.25">
      <c r="A159" s="67"/>
      <c r="B159" s="68"/>
      <c r="C159" s="51"/>
      <c r="D159" s="51"/>
      <c r="E159" s="51"/>
      <c r="F159" s="61"/>
      <c r="G159" s="61"/>
      <c r="H159" s="61"/>
      <c r="I159" s="51"/>
      <c r="J159" s="51"/>
    </row>
    <row r="160" spans="1:27" ht="18.75" x14ac:dyDescent="0.25">
      <c r="A160" s="67"/>
      <c r="B160" s="68"/>
      <c r="C160" s="51"/>
      <c r="D160" s="51"/>
      <c r="E160" s="51"/>
      <c r="F160" s="61"/>
      <c r="G160" s="61"/>
      <c r="H160" s="61"/>
      <c r="I160" s="51"/>
      <c r="J160" s="51"/>
    </row>
    <row r="161" spans="1:10" ht="18.75" x14ac:dyDescent="0.25">
      <c r="A161" s="67"/>
      <c r="B161" s="68"/>
      <c r="C161" s="51"/>
      <c r="D161" s="51"/>
      <c r="E161" s="51"/>
      <c r="F161" s="61"/>
      <c r="G161" s="61"/>
      <c r="H161" s="61"/>
      <c r="I161" s="51"/>
      <c r="J161" s="51"/>
    </row>
    <row r="162" spans="1:10" ht="18.75" x14ac:dyDescent="0.25">
      <c r="A162" s="67"/>
      <c r="B162" s="68"/>
      <c r="C162" s="51"/>
      <c r="D162" s="51"/>
      <c r="E162" s="51"/>
      <c r="F162" s="61"/>
      <c r="G162" s="61"/>
      <c r="H162" s="61"/>
      <c r="I162" s="51"/>
      <c r="J162" s="51"/>
    </row>
    <row r="163" spans="1:10" ht="18.75" x14ac:dyDescent="0.25">
      <c r="A163" s="67"/>
      <c r="B163" s="68"/>
      <c r="C163" s="51"/>
      <c r="D163" s="51"/>
      <c r="E163" s="51"/>
      <c r="F163" s="61"/>
      <c r="G163" s="61"/>
      <c r="H163" s="61"/>
      <c r="I163" s="51"/>
      <c r="J163" s="51"/>
    </row>
    <row r="164" spans="1:10" ht="18.75" x14ac:dyDescent="0.25">
      <c r="A164" s="67"/>
      <c r="B164" s="68"/>
      <c r="C164" s="51"/>
      <c r="D164" s="51"/>
      <c r="E164" s="51"/>
      <c r="F164" s="61"/>
      <c r="G164" s="61"/>
      <c r="H164" s="61"/>
      <c r="I164" s="51"/>
      <c r="J164" s="51"/>
    </row>
    <row r="165" spans="1:10" ht="18.75" x14ac:dyDescent="0.25">
      <c r="A165" s="67"/>
      <c r="B165" s="75"/>
      <c r="C165" s="51"/>
      <c r="D165" s="51"/>
      <c r="E165" s="51"/>
      <c r="F165" s="61"/>
      <c r="G165" s="61"/>
      <c r="H165" s="61"/>
      <c r="I165" s="51"/>
      <c r="J165" s="51"/>
    </row>
    <row r="166" spans="1:10" ht="18.75" x14ac:dyDescent="0.25">
      <c r="A166" s="67"/>
      <c r="B166" s="75"/>
      <c r="C166" s="51"/>
      <c r="D166" s="51"/>
      <c r="E166" s="51"/>
      <c r="F166" s="61"/>
      <c r="G166" s="61"/>
      <c r="H166" s="61"/>
      <c r="I166" s="51"/>
      <c r="J166" s="51"/>
    </row>
    <row r="167" spans="1:10" ht="18.75" x14ac:dyDescent="0.25">
      <c r="A167" s="67"/>
      <c r="B167" s="68"/>
      <c r="C167" s="51"/>
      <c r="D167" s="51"/>
      <c r="E167" s="51"/>
      <c r="F167" s="61"/>
      <c r="G167" s="61"/>
      <c r="H167" s="61"/>
      <c r="I167" s="51"/>
      <c r="J167" s="51"/>
    </row>
    <row r="168" spans="1:10" ht="18.75" x14ac:dyDescent="0.25">
      <c r="A168" s="67"/>
      <c r="B168" s="68"/>
      <c r="C168" s="51"/>
      <c r="D168" s="51"/>
      <c r="E168" s="51"/>
      <c r="F168" s="61"/>
      <c r="G168" s="61"/>
      <c r="H168" s="61"/>
      <c r="I168" s="51"/>
      <c r="J168" s="51"/>
    </row>
    <row r="169" spans="1:10" ht="18.75" x14ac:dyDescent="0.25">
      <c r="A169" s="67"/>
      <c r="B169" s="75"/>
      <c r="C169" s="51"/>
      <c r="D169" s="51"/>
      <c r="E169" s="51"/>
      <c r="F169" s="61"/>
      <c r="G169" s="61"/>
      <c r="H169" s="61"/>
      <c r="I169" s="51"/>
      <c r="J169" s="51"/>
    </row>
    <row r="170" spans="1:10" ht="18.75" x14ac:dyDescent="0.25">
      <c r="A170" s="67"/>
      <c r="B170" s="68"/>
      <c r="C170" s="51"/>
      <c r="D170" s="51"/>
      <c r="E170" s="51"/>
      <c r="F170" s="61"/>
      <c r="G170" s="61"/>
      <c r="H170" s="61"/>
      <c r="I170" s="51"/>
      <c r="J170" s="51"/>
    </row>
    <row r="171" spans="1:10" ht="18.75" x14ac:dyDescent="0.25">
      <c r="A171" s="67"/>
      <c r="B171" s="68"/>
      <c r="C171" s="51"/>
      <c r="D171" s="51"/>
      <c r="E171" s="51"/>
      <c r="F171" s="61"/>
      <c r="G171" s="61"/>
      <c r="H171" s="61"/>
      <c r="I171" s="51"/>
      <c r="J171" s="51"/>
    </row>
    <row r="172" spans="1:10" ht="18.75" x14ac:dyDescent="0.25">
      <c r="A172" s="67"/>
      <c r="B172" s="68"/>
      <c r="C172" s="51"/>
      <c r="D172" s="51"/>
      <c r="E172" s="51"/>
      <c r="F172" s="61"/>
      <c r="G172" s="61"/>
      <c r="H172" s="61"/>
      <c r="I172" s="51"/>
      <c r="J172" s="51"/>
    </row>
    <row r="173" spans="1:10" ht="18.75" x14ac:dyDescent="0.25">
      <c r="A173" s="67"/>
      <c r="B173" s="68"/>
      <c r="C173" s="51"/>
      <c r="D173" s="51"/>
      <c r="E173" s="51"/>
      <c r="F173" s="61"/>
      <c r="G173" s="61"/>
      <c r="H173" s="61"/>
      <c r="I173" s="51"/>
      <c r="J173" s="51"/>
    </row>
    <row r="174" spans="1:10" ht="18.75" x14ac:dyDescent="0.25">
      <c r="A174" s="67"/>
      <c r="B174" s="68"/>
      <c r="C174" s="51"/>
      <c r="D174" s="51"/>
      <c r="E174" s="51"/>
      <c r="F174" s="61"/>
      <c r="G174" s="61"/>
      <c r="H174" s="61"/>
      <c r="I174" s="51"/>
      <c r="J174" s="51"/>
    </row>
    <row r="175" spans="1:10" ht="18.75" x14ac:dyDescent="0.25">
      <c r="A175" s="67"/>
      <c r="B175" s="68"/>
      <c r="C175" s="51"/>
      <c r="D175" s="51"/>
      <c r="E175" s="51"/>
      <c r="F175" s="61"/>
      <c r="G175" s="61"/>
      <c r="H175" s="61"/>
      <c r="I175" s="51"/>
      <c r="J175" s="51"/>
    </row>
    <row r="176" spans="1:10" ht="18.75" x14ac:dyDescent="0.25">
      <c r="A176" s="67"/>
      <c r="B176" s="68"/>
      <c r="C176" s="51"/>
      <c r="D176" s="51"/>
      <c r="E176" s="51"/>
      <c r="F176" s="61"/>
      <c r="G176" s="61"/>
      <c r="H176" s="61"/>
      <c r="I176" s="51"/>
      <c r="J176" s="51"/>
    </row>
    <row r="177" spans="1:10" ht="18.75" x14ac:dyDescent="0.25">
      <c r="A177" s="67"/>
      <c r="B177" s="68"/>
      <c r="C177" s="51"/>
      <c r="D177" s="51"/>
      <c r="E177" s="51"/>
      <c r="F177" s="61"/>
      <c r="G177" s="61"/>
      <c r="H177" s="61"/>
      <c r="I177" s="51"/>
      <c r="J177" s="51"/>
    </row>
    <row r="178" spans="1:10" ht="18.75" x14ac:dyDescent="0.25">
      <c r="A178" s="67"/>
      <c r="B178" s="68"/>
      <c r="C178" s="51"/>
      <c r="D178" s="51"/>
      <c r="E178" s="51"/>
      <c r="F178" s="61"/>
      <c r="G178" s="61"/>
      <c r="H178" s="61"/>
      <c r="I178" s="51"/>
      <c r="J178" s="51"/>
    </row>
    <row r="179" spans="1:10" ht="18.75" x14ac:dyDescent="0.25">
      <c r="A179" s="67"/>
      <c r="B179" s="68"/>
      <c r="C179" s="51"/>
      <c r="D179" s="51"/>
      <c r="E179" s="51"/>
      <c r="F179" s="61"/>
      <c r="G179" s="61"/>
      <c r="H179" s="61"/>
      <c r="I179" s="51"/>
      <c r="J179" s="51"/>
    </row>
    <row r="180" spans="1:10" ht="18.75" x14ac:dyDescent="0.25">
      <c r="A180" s="67"/>
      <c r="B180" s="68"/>
      <c r="C180" s="51"/>
      <c r="D180" s="51"/>
      <c r="E180" s="51"/>
      <c r="F180" s="61"/>
      <c r="G180" s="61"/>
      <c r="H180" s="61"/>
      <c r="I180" s="51"/>
      <c r="J180" s="51"/>
    </row>
    <row r="181" spans="1:10" ht="18.75" x14ac:dyDescent="0.25">
      <c r="A181" s="67"/>
      <c r="B181" s="68"/>
      <c r="C181" s="51"/>
      <c r="D181" s="51"/>
      <c r="E181" s="51"/>
      <c r="F181" s="61"/>
      <c r="G181" s="61"/>
      <c r="H181" s="61"/>
      <c r="I181" s="51"/>
      <c r="J181" s="51"/>
    </row>
    <row r="182" spans="1:10" ht="18.75" x14ac:dyDescent="0.25">
      <c r="A182" s="67"/>
      <c r="B182" s="68"/>
      <c r="C182" s="51"/>
      <c r="D182" s="51"/>
      <c r="E182" s="51"/>
      <c r="F182" s="61"/>
      <c r="G182" s="61"/>
      <c r="H182" s="61"/>
      <c r="I182" s="51"/>
      <c r="J182" s="51"/>
    </row>
    <row r="183" spans="1:10" ht="18.75" x14ac:dyDescent="0.25">
      <c r="A183" s="67"/>
      <c r="B183" s="68"/>
      <c r="C183" s="51"/>
      <c r="D183" s="51"/>
      <c r="E183" s="51"/>
      <c r="F183" s="61"/>
      <c r="G183" s="61"/>
      <c r="H183" s="61"/>
      <c r="I183" s="51"/>
      <c r="J183" s="51"/>
    </row>
    <row r="184" spans="1:10" ht="18.75" x14ac:dyDescent="0.25">
      <c r="A184" s="67"/>
      <c r="B184" s="68"/>
      <c r="C184" s="51"/>
      <c r="D184" s="51"/>
      <c r="E184" s="51"/>
      <c r="F184" s="61"/>
      <c r="G184" s="61"/>
      <c r="H184" s="61"/>
      <c r="I184" s="51"/>
      <c r="J184" s="51"/>
    </row>
    <row r="185" spans="1:10" ht="18.75" x14ac:dyDescent="0.25">
      <c r="A185" s="67"/>
      <c r="B185" s="68"/>
      <c r="C185" s="51"/>
      <c r="D185" s="51"/>
      <c r="E185" s="51"/>
      <c r="F185" s="61"/>
      <c r="G185" s="61"/>
      <c r="H185" s="61"/>
      <c r="I185" s="51"/>
      <c r="J185" s="51"/>
    </row>
    <row r="186" spans="1:10" ht="18.75" x14ac:dyDescent="0.25">
      <c r="A186" s="67"/>
      <c r="B186" s="68"/>
      <c r="C186" s="51"/>
      <c r="D186" s="51"/>
      <c r="E186" s="51"/>
      <c r="F186" s="61"/>
      <c r="G186" s="61"/>
      <c r="H186" s="61"/>
      <c r="I186" s="51"/>
      <c r="J186" s="51"/>
    </row>
    <row r="187" spans="1:10" ht="18.75" x14ac:dyDescent="0.25">
      <c r="A187" s="67"/>
      <c r="B187" s="68"/>
      <c r="C187" s="51"/>
      <c r="D187" s="51"/>
      <c r="E187" s="51"/>
      <c r="F187" s="61"/>
      <c r="G187" s="61"/>
      <c r="H187" s="61"/>
      <c r="I187" s="51"/>
      <c r="J187" s="51"/>
    </row>
    <row r="188" spans="1:10" ht="18.75" x14ac:dyDescent="0.25">
      <c r="A188" s="67"/>
      <c r="B188" s="68"/>
      <c r="C188" s="51"/>
      <c r="D188" s="51"/>
      <c r="E188" s="51"/>
      <c r="F188" s="61"/>
      <c r="G188" s="61"/>
      <c r="H188" s="61"/>
      <c r="I188" s="51"/>
      <c r="J188" s="51"/>
    </row>
    <row r="189" spans="1:10" ht="20.25" x14ac:dyDescent="0.3">
      <c r="A189" s="359" t="s">
        <v>245</v>
      </c>
      <c r="B189" s="359"/>
      <c r="C189" s="51"/>
      <c r="D189" s="51"/>
      <c r="E189" s="51"/>
      <c r="F189" s="61"/>
      <c r="G189" s="61"/>
      <c r="H189" s="61"/>
      <c r="I189" s="51"/>
      <c r="J189" s="51"/>
    </row>
    <row r="190" spans="1:10" ht="20.25" x14ac:dyDescent="0.3">
      <c r="A190" s="359" t="s">
        <v>246</v>
      </c>
      <c r="B190" s="359"/>
      <c r="C190" s="51"/>
      <c r="D190" s="51"/>
      <c r="E190" s="51"/>
      <c r="F190" s="61"/>
      <c r="G190" s="61"/>
      <c r="H190" s="61"/>
      <c r="I190" s="51"/>
      <c r="J190" s="51"/>
    </row>
    <row r="191" spans="1:10" ht="18.75" x14ac:dyDescent="0.25">
      <c r="A191" s="67"/>
      <c r="B191" s="68"/>
      <c r="C191" s="51"/>
      <c r="D191" s="51"/>
      <c r="E191" s="51"/>
      <c r="F191" s="61"/>
      <c r="G191" s="61"/>
      <c r="H191" s="61"/>
      <c r="I191" s="51"/>
      <c r="J191" s="51"/>
    </row>
    <row r="192" spans="1:10" ht="18.75" x14ac:dyDescent="0.25">
      <c r="A192" s="67"/>
      <c r="B192" s="68"/>
      <c r="C192" s="51"/>
      <c r="D192" s="51"/>
      <c r="E192" s="51"/>
      <c r="F192" s="61"/>
      <c r="G192" s="61"/>
      <c r="H192" s="61"/>
      <c r="I192" s="51"/>
      <c r="J192" s="51"/>
    </row>
    <row r="193" spans="1:10" ht="18.75" x14ac:dyDescent="0.25">
      <c r="A193" s="67"/>
      <c r="B193" s="68"/>
      <c r="C193" s="51"/>
      <c r="D193" s="51"/>
      <c r="E193" s="51"/>
      <c r="F193" s="61"/>
      <c r="G193" s="61"/>
      <c r="H193" s="61"/>
      <c r="I193" s="51"/>
      <c r="J193" s="51"/>
    </row>
    <row r="194" spans="1:10" ht="18.75" x14ac:dyDescent="0.25">
      <c r="A194" s="67"/>
      <c r="B194" s="68"/>
      <c r="C194" s="51"/>
      <c r="D194" s="51"/>
      <c r="E194" s="51"/>
      <c r="F194" s="61"/>
      <c r="G194" s="61"/>
      <c r="H194" s="61"/>
      <c r="I194" s="51"/>
      <c r="J194" s="51"/>
    </row>
    <row r="195" spans="1:10" ht="18.75" x14ac:dyDescent="0.25">
      <c r="A195" s="67"/>
      <c r="B195" s="68"/>
      <c r="C195" s="51"/>
      <c r="D195" s="51"/>
      <c r="E195" s="51"/>
      <c r="F195" s="61"/>
      <c r="G195" s="61"/>
      <c r="H195" s="61"/>
      <c r="I195" s="51"/>
      <c r="J195" s="51"/>
    </row>
  </sheetData>
  <protectedRanges>
    <protectedRange sqref="N1:N9 N11 N98 N105:N157 N13:N55 N71:N96 N58:N69 N103 N100" name="Диапазон1"/>
  </protectedRanges>
  <mergeCells count="448">
    <mergeCell ref="N140:N141"/>
    <mergeCell ref="O140:O141"/>
    <mergeCell ref="P140:P141"/>
    <mergeCell ref="Q140:Q141"/>
    <mergeCell ref="L143:L144"/>
    <mergeCell ref="M143:M144"/>
    <mergeCell ref="F146:F148"/>
    <mergeCell ref="N143:N144"/>
    <mergeCell ref="A146:A148"/>
    <mergeCell ref="B146:B148"/>
    <mergeCell ref="C146:C148"/>
    <mergeCell ref="D146:D148"/>
    <mergeCell ref="E146:E148"/>
    <mergeCell ref="O143:O144"/>
    <mergeCell ref="P143:P144"/>
    <mergeCell ref="Q143:Q144"/>
    <mergeCell ref="F143:F144"/>
    <mergeCell ref="G143:G144"/>
    <mergeCell ref="H143:H144"/>
    <mergeCell ref="I143:I144"/>
    <mergeCell ref="J143:J144"/>
    <mergeCell ref="A143:A144"/>
    <mergeCell ref="B143:B144"/>
    <mergeCell ref="C143:C144"/>
    <mergeCell ref="B152:H152"/>
    <mergeCell ref="A153:Q153"/>
    <mergeCell ref="A154:D155"/>
    <mergeCell ref="M146:M148"/>
    <mergeCell ref="N146:N148"/>
    <mergeCell ref="O146:O148"/>
    <mergeCell ref="P146:P148"/>
    <mergeCell ref="Q146:Q148"/>
    <mergeCell ref="D150:D151"/>
    <mergeCell ref="G146:G148"/>
    <mergeCell ref="H146:H148"/>
    <mergeCell ref="I146:I148"/>
    <mergeCell ref="J146:J148"/>
    <mergeCell ref="K146:K148"/>
    <mergeCell ref="L146:L148"/>
    <mergeCell ref="M150:M151"/>
    <mergeCell ref="O150:O151"/>
    <mergeCell ref="D143:D144"/>
    <mergeCell ref="E143:E144"/>
    <mergeCell ref="G140:G141"/>
    <mergeCell ref="F140:F141"/>
    <mergeCell ref="K143:K144"/>
    <mergeCell ref="M140:M141"/>
    <mergeCell ref="H140:H141"/>
    <mergeCell ref="I140:I141"/>
    <mergeCell ref="J140:J141"/>
    <mergeCell ref="K140:K141"/>
    <mergeCell ref="L140:L141"/>
    <mergeCell ref="A140:A141"/>
    <mergeCell ref="B140:B141"/>
    <mergeCell ref="C140:C141"/>
    <mergeCell ref="D140:D141"/>
    <mergeCell ref="E140:E141"/>
    <mergeCell ref="P133:P134"/>
    <mergeCell ref="Q133:Q134"/>
    <mergeCell ref="A136:A137"/>
    <mergeCell ref="B136:B137"/>
    <mergeCell ref="C136:C137"/>
    <mergeCell ref="D136:D137"/>
    <mergeCell ref="E136:E137"/>
    <mergeCell ref="N136:N137"/>
    <mergeCell ref="O136:O137"/>
    <mergeCell ref="P136:P137"/>
    <mergeCell ref="Q136:Q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J133:J134"/>
    <mergeCell ref="K133:K134"/>
    <mergeCell ref="L133:L134"/>
    <mergeCell ref="M133:M134"/>
    <mergeCell ref="N133:N134"/>
    <mergeCell ref="O133:O134"/>
    <mergeCell ref="A129:A130"/>
    <mergeCell ref="B129:B130"/>
    <mergeCell ref="C129:C130"/>
    <mergeCell ref="D129:D130"/>
    <mergeCell ref="E129:E130"/>
    <mergeCell ref="A133:A134"/>
    <mergeCell ref="B133:B134"/>
    <mergeCell ref="C133:C134"/>
    <mergeCell ref="D133:D134"/>
    <mergeCell ref="E133:E134"/>
    <mergeCell ref="F133:F134"/>
    <mergeCell ref="G133:G134"/>
    <mergeCell ref="H133:H134"/>
    <mergeCell ref="I133:I134"/>
    <mergeCell ref="D131:D132"/>
    <mergeCell ref="F117:F118"/>
    <mergeCell ref="H117:H118"/>
    <mergeCell ref="I117:I118"/>
    <mergeCell ref="J117:J118"/>
    <mergeCell ref="G117:G118"/>
    <mergeCell ref="P129:P130"/>
    <mergeCell ref="Q129:Q130"/>
    <mergeCell ref="F129:F130"/>
    <mergeCell ref="G129:G130"/>
    <mergeCell ref="H129:H130"/>
    <mergeCell ref="I129:I130"/>
    <mergeCell ref="J129:J130"/>
    <mergeCell ref="K129:K130"/>
    <mergeCell ref="P117:P118"/>
    <mergeCell ref="Q117:Q118"/>
    <mergeCell ref="K117:K118"/>
    <mergeCell ref="L117:L118"/>
    <mergeCell ref="L129:L130"/>
    <mergeCell ref="M129:M130"/>
    <mergeCell ref="N129:N130"/>
    <mergeCell ref="O129:O130"/>
    <mergeCell ref="M117:M118"/>
    <mergeCell ref="N117:N118"/>
    <mergeCell ref="O117:O118"/>
    <mergeCell ref="B107:B108"/>
    <mergeCell ref="C107:C108"/>
    <mergeCell ref="D107:D108"/>
    <mergeCell ref="E107:E108"/>
    <mergeCell ref="A117:A118"/>
    <mergeCell ref="B117:B118"/>
    <mergeCell ref="C117:C118"/>
    <mergeCell ref="D117:D118"/>
    <mergeCell ref="E117:E118"/>
    <mergeCell ref="Q113:Q114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M113:M114"/>
    <mergeCell ref="P107:P108"/>
    <mergeCell ref="G101:G102"/>
    <mergeCell ref="H101:H102"/>
    <mergeCell ref="O101:O102"/>
    <mergeCell ref="N113:N114"/>
    <mergeCell ref="O113:O114"/>
    <mergeCell ref="P113:P114"/>
    <mergeCell ref="K101:K102"/>
    <mergeCell ref="L101:L102"/>
    <mergeCell ref="M101:M102"/>
    <mergeCell ref="M110:M111"/>
    <mergeCell ref="O110:O111"/>
    <mergeCell ref="L110:L111"/>
    <mergeCell ref="N110:N111"/>
    <mergeCell ref="K110:K111"/>
    <mergeCell ref="Q107:Q108"/>
    <mergeCell ref="K107:K108"/>
    <mergeCell ref="L107:L108"/>
    <mergeCell ref="M107:M108"/>
    <mergeCell ref="N107:N108"/>
    <mergeCell ref="Q101:Q102"/>
    <mergeCell ref="P101:P102"/>
    <mergeCell ref="B97:H97"/>
    <mergeCell ref="O82:O83"/>
    <mergeCell ref="P82:P83"/>
    <mergeCell ref="Q82:Q83"/>
    <mergeCell ref="L82:L83"/>
    <mergeCell ref="P88:P89"/>
    <mergeCell ref="Q88:Q89"/>
    <mergeCell ref="J82:J83"/>
    <mergeCell ref="K82:K83"/>
    <mergeCell ref="F107:F108"/>
    <mergeCell ref="G107:G108"/>
    <mergeCell ref="H107:H108"/>
    <mergeCell ref="I101:I102"/>
    <mergeCell ref="J101:J102"/>
    <mergeCell ref="I107:I108"/>
    <mergeCell ref="J107:J108"/>
    <mergeCell ref="O107:O108"/>
    <mergeCell ref="A101:A102"/>
    <mergeCell ref="B101:B102"/>
    <mergeCell ref="C101:C102"/>
    <mergeCell ref="D101:D102"/>
    <mergeCell ref="E101:E102"/>
    <mergeCell ref="F101:F102"/>
    <mergeCell ref="N101:N102"/>
    <mergeCell ref="N88:N89"/>
    <mergeCell ref="O88:O89"/>
    <mergeCell ref="K88:K89"/>
    <mergeCell ref="F88:F89"/>
    <mergeCell ref="G88:G89"/>
    <mergeCell ref="H88:H89"/>
    <mergeCell ref="I88:I89"/>
    <mergeCell ref="J88:J89"/>
    <mergeCell ref="A88:A89"/>
    <mergeCell ref="B88:B89"/>
    <mergeCell ref="C88:C89"/>
    <mergeCell ref="D88:D89"/>
    <mergeCell ref="E88:E89"/>
    <mergeCell ref="L88:L89"/>
    <mergeCell ref="M88:M89"/>
    <mergeCell ref="L63:L64"/>
    <mergeCell ref="M82:M83"/>
    <mergeCell ref="N82:N83"/>
    <mergeCell ref="A82:A83"/>
    <mergeCell ref="B70:H70"/>
    <mergeCell ref="G63:G64"/>
    <mergeCell ref="H63:H64"/>
    <mergeCell ref="I63:I64"/>
    <mergeCell ref="J63:J64"/>
    <mergeCell ref="K63:K64"/>
    <mergeCell ref="B82:B83"/>
    <mergeCell ref="C82:C83"/>
    <mergeCell ref="D82:D83"/>
    <mergeCell ref="E82:E83"/>
    <mergeCell ref="F82:F83"/>
    <mergeCell ref="G82:G83"/>
    <mergeCell ref="H82:H83"/>
    <mergeCell ref="I82:I83"/>
    <mergeCell ref="G61:G62"/>
    <mergeCell ref="H61:H62"/>
    <mergeCell ref="I61:I62"/>
    <mergeCell ref="J61:J62"/>
    <mergeCell ref="K61:K62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A56:A57"/>
    <mergeCell ref="B56:B57"/>
    <mergeCell ref="C56:C57"/>
    <mergeCell ref="D56:D57"/>
    <mergeCell ref="E56:E57"/>
    <mergeCell ref="G56:G57"/>
    <mergeCell ref="F56:F57"/>
    <mergeCell ref="P63:P64"/>
    <mergeCell ref="Q63:Q64"/>
    <mergeCell ref="M56:M57"/>
    <mergeCell ref="N56:N57"/>
    <mergeCell ref="O56:O57"/>
    <mergeCell ref="P56:P57"/>
    <mergeCell ref="Q56:Q57"/>
    <mergeCell ref="O61:O62"/>
    <mergeCell ref="P61:P62"/>
    <mergeCell ref="L61:L62"/>
    <mergeCell ref="M61:M62"/>
    <mergeCell ref="N61:N62"/>
    <mergeCell ref="M63:M64"/>
    <mergeCell ref="N63:N64"/>
    <mergeCell ref="O63:O64"/>
    <mergeCell ref="Q61:Q62"/>
    <mergeCell ref="F61:F62"/>
    <mergeCell ref="N54:N55"/>
    <mergeCell ref="O54:O55"/>
    <mergeCell ref="P54:P55"/>
    <mergeCell ref="Q54:Q55"/>
    <mergeCell ref="H56:H57"/>
    <mergeCell ref="I56:I57"/>
    <mergeCell ref="J56:J57"/>
    <mergeCell ref="K56:K57"/>
    <mergeCell ref="L56:L57"/>
    <mergeCell ref="L52:L53"/>
    <mergeCell ref="F54:F55"/>
    <mergeCell ref="G54:G55"/>
    <mergeCell ref="H54:H55"/>
    <mergeCell ref="I54:I55"/>
    <mergeCell ref="J54:J55"/>
    <mergeCell ref="K54:K55"/>
    <mergeCell ref="L54:L55"/>
    <mergeCell ref="M54:M55"/>
    <mergeCell ref="A54:A55"/>
    <mergeCell ref="B54:B55"/>
    <mergeCell ref="C54:C55"/>
    <mergeCell ref="D54:D55"/>
    <mergeCell ref="E54:E55"/>
    <mergeCell ref="G52:G53"/>
    <mergeCell ref="H52:H53"/>
    <mergeCell ref="I52:I53"/>
    <mergeCell ref="J52:J53"/>
    <mergeCell ref="A50:A51"/>
    <mergeCell ref="B50:B51"/>
    <mergeCell ref="C50:C51"/>
    <mergeCell ref="D50:D51"/>
    <mergeCell ref="E50:E51"/>
    <mergeCell ref="F46:F47"/>
    <mergeCell ref="G46:G47"/>
    <mergeCell ref="A52:A53"/>
    <mergeCell ref="B52:B53"/>
    <mergeCell ref="C52:C53"/>
    <mergeCell ref="D52:D53"/>
    <mergeCell ref="E52:E53"/>
    <mergeCell ref="F52:F53"/>
    <mergeCell ref="P50:P51"/>
    <mergeCell ref="Q50:Q51"/>
    <mergeCell ref="F50:F51"/>
    <mergeCell ref="G50:G51"/>
    <mergeCell ref="H50:H51"/>
    <mergeCell ref="I50:I51"/>
    <mergeCell ref="H46:H47"/>
    <mergeCell ref="I46:I47"/>
    <mergeCell ref="J46:J47"/>
    <mergeCell ref="K46:K47"/>
    <mergeCell ref="L50:L51"/>
    <mergeCell ref="L46:L47"/>
    <mergeCell ref="M46:M47"/>
    <mergeCell ref="O46:O47"/>
    <mergeCell ref="P46:P47"/>
    <mergeCell ref="Q46:Q47"/>
    <mergeCell ref="J50:J51"/>
    <mergeCell ref="N50:N51"/>
    <mergeCell ref="K50:K53"/>
    <mergeCell ref="M50:M53"/>
    <mergeCell ref="O50:O53"/>
    <mergeCell ref="Q52:Q53"/>
    <mergeCell ref="N52:N53"/>
    <mergeCell ref="P52:P53"/>
    <mergeCell ref="J44:J45"/>
    <mergeCell ref="K44:K45"/>
    <mergeCell ref="L44:L45"/>
    <mergeCell ref="M44:M45"/>
    <mergeCell ref="N44:N45"/>
    <mergeCell ref="O44:O45"/>
    <mergeCell ref="P44:P45"/>
    <mergeCell ref="Q44:Q45"/>
    <mergeCell ref="A46:A47"/>
    <mergeCell ref="B46:B47"/>
    <mergeCell ref="C46:C47"/>
    <mergeCell ref="D46:D47"/>
    <mergeCell ref="E46:E47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P42:P43"/>
    <mergeCell ref="Q42:Q43"/>
    <mergeCell ref="F42:F43"/>
    <mergeCell ref="G42:G43"/>
    <mergeCell ref="H42:H43"/>
    <mergeCell ref="I42:I43"/>
    <mergeCell ref="J42:J43"/>
    <mergeCell ref="K42:K43"/>
    <mergeCell ref="L42:L43"/>
    <mergeCell ref="M42:M43"/>
    <mergeCell ref="Q27:Q28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A27:A28"/>
    <mergeCell ref="B27:B28"/>
    <mergeCell ref="C27:C28"/>
    <mergeCell ref="D27:D28"/>
    <mergeCell ref="E27:E28"/>
    <mergeCell ref="N32:N33"/>
    <mergeCell ref="O32:O33"/>
    <mergeCell ref="P32:P33"/>
    <mergeCell ref="Q32:Q33"/>
    <mergeCell ref="L32:L33"/>
    <mergeCell ref="M32:M33"/>
    <mergeCell ref="A189:B189"/>
    <mergeCell ref="A190:B190"/>
    <mergeCell ref="Q6:Q8"/>
    <mergeCell ref="I7:J7"/>
    <mergeCell ref="K7:L7"/>
    <mergeCell ref="M7:N7"/>
    <mergeCell ref="O7:P7"/>
    <mergeCell ref="H6:H8"/>
    <mergeCell ref="I6:P6"/>
    <mergeCell ref="Q22:Q23"/>
    <mergeCell ref="E24:E25"/>
    <mergeCell ref="F24:F25"/>
    <mergeCell ref="G24:G25"/>
    <mergeCell ref="H24:H25"/>
    <mergeCell ref="I22:I23"/>
    <mergeCell ref="J22:J23"/>
    <mergeCell ref="K22:K23"/>
    <mergeCell ref="L22:L23"/>
    <mergeCell ref="M22:M23"/>
    <mergeCell ref="C22:C23"/>
    <mergeCell ref="J27:J28"/>
    <mergeCell ref="K27:K28"/>
    <mergeCell ref="L27:L28"/>
    <mergeCell ref="M27:M28"/>
    <mergeCell ref="P22:P23"/>
    <mergeCell ref="B12:H12"/>
    <mergeCell ref="A22:A23"/>
    <mergeCell ref="B22:B23"/>
    <mergeCell ref="N22:N23"/>
    <mergeCell ref="H22:H23"/>
    <mergeCell ref="F27:F28"/>
    <mergeCell ref="G27:G28"/>
    <mergeCell ref="H27:H28"/>
    <mergeCell ref="I27:I28"/>
    <mergeCell ref="N27:N28"/>
    <mergeCell ref="O27:O28"/>
    <mergeCell ref="P27:P28"/>
    <mergeCell ref="D22:D23"/>
    <mergeCell ref="E22:E23"/>
    <mergeCell ref="F22:F23"/>
    <mergeCell ref="G22:G23"/>
    <mergeCell ref="O22:O23"/>
    <mergeCell ref="O34:O35"/>
    <mergeCell ref="N46:N47"/>
    <mergeCell ref="E34:E35"/>
    <mergeCell ref="F34:F35"/>
    <mergeCell ref="G34:G35"/>
    <mergeCell ref="H34:H35"/>
    <mergeCell ref="M34:M35"/>
    <mergeCell ref="A42:A43"/>
    <mergeCell ref="J1:K1"/>
    <mergeCell ref="I2:L2"/>
    <mergeCell ref="H3:M3"/>
    <mergeCell ref="J4:K4"/>
    <mergeCell ref="A6:A8"/>
    <mergeCell ref="B6:B8"/>
    <mergeCell ref="D6:D8"/>
    <mergeCell ref="E6:E8"/>
    <mergeCell ref="F6:F8"/>
    <mergeCell ref="G6:G8"/>
    <mergeCell ref="B42:B43"/>
    <mergeCell ref="C42:C43"/>
    <mergeCell ref="D42:D43"/>
    <mergeCell ref="E42:E43"/>
    <mergeCell ref="N42:N43"/>
    <mergeCell ref="O42:O43"/>
  </mergeCells>
  <hyperlinks>
    <hyperlink ref="C6" r:id="rId1" display="consultantplus://offline/ref=296E051552D9B0DE54C4EEA366783458DCF3E2F270B1C5BE0EE0B1036681A6753D4434517D8E791EF555ABSAVCG"/>
  </hyperlinks>
  <pageMargins left="0.70866141732283472" right="0.70866141732283472" top="0.74803149606299213" bottom="0.74803149606299213" header="0.31496062992125984" footer="0.31496062992125984"/>
  <pageSetup paperSize="9" scale="35" orientation="landscape" r:id="rId2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Финансирование</vt:lpstr>
      <vt:lpstr>Показатели, Критерии</vt:lpstr>
      <vt:lpstr>План реализации</vt:lpstr>
      <vt:lpstr>'План реализации'!Область_печати</vt:lpstr>
      <vt:lpstr>'Показатели, Критерии'!Область_печати</vt:lpstr>
      <vt:lpstr>Финансирование!Область_печати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2021-07-20T13:39:31Z</dcterms:modified>
</cp:coreProperties>
</file>