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90" yWindow="4200" windowWidth="16890" windowHeight="14640" tabRatio="630"/>
  </bookViews>
  <sheets>
    <sheet name="Финансирование" sheetId="1" r:id="rId1"/>
    <sheet name="Показатели, Критерии" sheetId="2" r:id="rId2"/>
    <sheet name="План реализации" sheetId="5" r:id="rId3"/>
  </sheets>
  <definedNames>
    <definedName name="_xlnm.Print_Area" localSheetId="2">'План реализации'!$A$1:$Q$190</definedName>
    <definedName name="_xlnm.Print_Area" localSheetId="1">'Показатели, Критерии'!$A$1:$G$70</definedName>
    <definedName name="_xlnm.Print_Area" localSheetId="0">Финансирование!$A$1:$AA$195</definedName>
  </definedNames>
  <calcPr calcId="152511"/>
</workbook>
</file>

<file path=xl/calcChain.xml><?xml version="1.0" encoding="utf-8"?>
<calcChain xmlns="http://schemas.openxmlformats.org/spreadsheetml/2006/main">
  <c r="I70" i="5" l="1"/>
  <c r="J44" i="5" l="1"/>
  <c r="P51" i="1"/>
  <c r="N11" i="5" l="1"/>
  <c r="AC46" i="1" l="1"/>
  <c r="AC44" i="1"/>
  <c r="AC45" i="1"/>
  <c r="AB25" i="1"/>
  <c r="AC25" i="1"/>
  <c r="T90" i="1" l="1"/>
  <c r="T68" i="1" l="1"/>
  <c r="O12" i="5" l="1"/>
  <c r="M12" i="5"/>
  <c r="L70" i="5"/>
  <c r="O97" i="5"/>
  <c r="Y94" i="1" l="1"/>
  <c r="Y87" i="1" l="1"/>
  <c r="N146" i="5" l="1"/>
  <c r="N140" i="5"/>
  <c r="N138" i="5"/>
  <c r="N136" i="5"/>
  <c r="N135" i="5"/>
  <c r="N133" i="5"/>
  <c r="N131" i="5"/>
  <c r="N129" i="5"/>
  <c r="N126" i="5"/>
  <c r="N125" i="5"/>
  <c r="N124" i="5"/>
  <c r="N123" i="5"/>
  <c r="N120" i="5"/>
  <c r="N119" i="5"/>
  <c r="N117" i="5"/>
  <c r="N116" i="5"/>
  <c r="N115" i="5"/>
  <c r="N113" i="5"/>
  <c r="S112" i="5"/>
  <c r="N112" i="5"/>
  <c r="N110" i="5"/>
  <c r="N107" i="5"/>
  <c r="N106" i="5"/>
  <c r="N105" i="5"/>
  <c r="N104" i="5"/>
  <c r="P93" i="1"/>
  <c r="N103" i="5"/>
  <c r="N101" i="5"/>
  <c r="N100" i="5"/>
  <c r="N99" i="5"/>
  <c r="N93" i="5" l="1"/>
  <c r="N87" i="5"/>
  <c r="N82" i="5"/>
  <c r="N80" i="5"/>
  <c r="N79" i="5"/>
  <c r="N78" i="5"/>
  <c r="N77" i="5"/>
  <c r="N76" i="5"/>
  <c r="S76" i="5" s="1"/>
  <c r="N75" i="5"/>
  <c r="N73" i="5"/>
  <c r="N72" i="5"/>
  <c r="N71" i="5"/>
  <c r="N67" i="5"/>
  <c r="N65" i="5"/>
  <c r="N63" i="5"/>
  <c r="N61" i="5"/>
  <c r="N59" i="5"/>
  <c r="N56" i="5"/>
  <c r="N58" i="5"/>
  <c r="N54" i="5"/>
  <c r="N50" i="5"/>
  <c r="N49" i="5"/>
  <c r="S49" i="5" s="1"/>
  <c r="N48" i="5"/>
  <c r="S48" i="5" s="1"/>
  <c r="N46" i="5"/>
  <c r="S44" i="5"/>
  <c r="N42" i="5"/>
  <c r="N41" i="5"/>
  <c r="N38" i="5"/>
  <c r="N34" i="5"/>
  <c r="N32" i="5"/>
  <c r="N31" i="5"/>
  <c r="N30" i="5"/>
  <c r="N29" i="5"/>
  <c r="S29" i="5" s="1"/>
  <c r="N27" i="5"/>
  <c r="S27" i="5" s="1"/>
  <c r="N24" i="5"/>
  <c r="S24" i="5" s="1"/>
  <c r="N22" i="5"/>
  <c r="S22" i="5" s="1"/>
  <c r="N21" i="5"/>
  <c r="N20" i="5"/>
  <c r="S20" i="5" s="1"/>
  <c r="N19" i="5"/>
  <c r="N18" i="5"/>
  <c r="N17" i="5"/>
  <c r="S14" i="5"/>
  <c r="S15" i="5"/>
  <c r="S16" i="5"/>
  <c r="S17" i="5"/>
  <c r="S18" i="5"/>
  <c r="S19" i="5"/>
  <c r="S21" i="5"/>
  <c r="S25" i="5"/>
  <c r="S26" i="5"/>
  <c r="S30" i="5"/>
  <c r="S31" i="5"/>
  <c r="S32" i="5"/>
  <c r="S34" i="5"/>
  <c r="S36" i="5"/>
  <c r="S37" i="5"/>
  <c r="S38" i="5"/>
  <c r="S39" i="5"/>
  <c r="S40" i="5"/>
  <c r="S41" i="5"/>
  <c r="S42" i="5"/>
  <c r="S46" i="5"/>
  <c r="S50" i="5"/>
  <c r="S52" i="5"/>
  <c r="S53" i="5"/>
  <c r="S54" i="5"/>
  <c r="S58" i="5"/>
  <c r="S59" i="5"/>
  <c r="S61" i="5"/>
  <c r="S63" i="5"/>
  <c r="S65" i="5"/>
  <c r="S67" i="5"/>
  <c r="S71" i="5"/>
  <c r="S72" i="5"/>
  <c r="S73" i="5"/>
  <c r="S75" i="5"/>
  <c r="S77" i="5"/>
  <c r="S78" i="5"/>
  <c r="S79" i="5"/>
  <c r="S80" i="5"/>
  <c r="S82" i="5"/>
  <c r="S84" i="5"/>
  <c r="S85" i="5"/>
  <c r="S86" i="5"/>
  <c r="S87" i="5"/>
  <c r="S88" i="5"/>
  <c r="S90" i="5"/>
  <c r="S91" i="5"/>
  <c r="S92" i="5"/>
  <c r="S93" i="5"/>
  <c r="S94" i="5"/>
  <c r="S95" i="5"/>
  <c r="S96" i="5"/>
  <c r="S99" i="5"/>
  <c r="S100" i="5"/>
  <c r="S101" i="5"/>
  <c r="S103" i="5"/>
  <c r="S104" i="5"/>
  <c r="S105" i="5"/>
  <c r="S106" i="5"/>
  <c r="S107" i="5"/>
  <c r="S110" i="5"/>
  <c r="S113" i="5"/>
  <c r="S115" i="5"/>
  <c r="S116" i="5"/>
  <c r="S117" i="5"/>
  <c r="S119" i="5"/>
  <c r="S120" i="5"/>
  <c r="S122" i="5"/>
  <c r="S123" i="5"/>
  <c r="S124" i="5"/>
  <c r="S125" i="5"/>
  <c r="S126" i="5"/>
  <c r="S127" i="5"/>
  <c r="S129" i="5"/>
  <c r="S131" i="5"/>
  <c r="S133" i="5"/>
  <c r="S135" i="5"/>
  <c r="S136" i="5"/>
  <c r="S138" i="5"/>
  <c r="S140" i="5"/>
  <c r="S143" i="5"/>
  <c r="S146" i="5"/>
  <c r="S151" i="5"/>
  <c r="S11" i="5"/>
  <c r="S13" i="5"/>
  <c r="Y72" i="1" l="1"/>
  <c r="L11" i="5"/>
  <c r="R122" i="5"/>
  <c r="R123" i="5"/>
  <c r="R124" i="5"/>
  <c r="R125" i="5"/>
  <c r="R126" i="5"/>
  <c r="R127" i="5"/>
  <c r="R129" i="5"/>
  <c r="R131" i="5"/>
  <c r="R133" i="5"/>
  <c r="R135" i="5"/>
  <c r="R136" i="5"/>
  <c r="R138" i="5"/>
  <c r="R140" i="5"/>
  <c r="R143" i="5"/>
  <c r="R146" i="5"/>
  <c r="R151" i="5"/>
  <c r="R11" i="5"/>
  <c r="R13" i="5"/>
  <c r="R14" i="5"/>
  <c r="R15" i="5"/>
  <c r="R16" i="5"/>
  <c r="R17" i="5"/>
  <c r="R18" i="5"/>
  <c r="R19" i="5"/>
  <c r="R20" i="5"/>
  <c r="R21" i="5"/>
  <c r="R22" i="5"/>
  <c r="R24" i="5"/>
  <c r="R25" i="5"/>
  <c r="R26" i="5"/>
  <c r="R27" i="5"/>
  <c r="R29" i="5"/>
  <c r="R30" i="5"/>
  <c r="R31" i="5"/>
  <c r="R32" i="5"/>
  <c r="R34" i="5"/>
  <c r="R36" i="5"/>
  <c r="R37" i="5"/>
  <c r="R38" i="5"/>
  <c r="R39" i="5"/>
  <c r="R40" i="5"/>
  <c r="R41" i="5"/>
  <c r="R42" i="5"/>
  <c r="R44" i="5"/>
  <c r="R46" i="5"/>
  <c r="R48" i="5"/>
  <c r="R49" i="5"/>
  <c r="R50" i="5"/>
  <c r="R52" i="5"/>
  <c r="R53" i="5"/>
  <c r="R54" i="5"/>
  <c r="R58" i="5"/>
  <c r="R59" i="5"/>
  <c r="R61" i="5"/>
  <c r="R63" i="5"/>
  <c r="R65" i="5"/>
  <c r="R67" i="5"/>
  <c r="R71" i="5"/>
  <c r="R72" i="5"/>
  <c r="R73" i="5"/>
  <c r="R75" i="5"/>
  <c r="R76" i="5"/>
  <c r="R77" i="5"/>
  <c r="R78" i="5"/>
  <c r="R79" i="5"/>
  <c r="R80" i="5"/>
  <c r="R82" i="5"/>
  <c r="R84" i="5"/>
  <c r="R85" i="5"/>
  <c r="R86" i="5"/>
  <c r="R87" i="5"/>
  <c r="R88" i="5"/>
  <c r="R90" i="5"/>
  <c r="R91" i="5"/>
  <c r="R92" i="5"/>
  <c r="R93" i="5"/>
  <c r="R94" i="5"/>
  <c r="R95" i="5"/>
  <c r="R96" i="5"/>
  <c r="R100" i="5"/>
  <c r="R103" i="5"/>
  <c r="R105" i="5"/>
  <c r="R106" i="5"/>
  <c r="R107" i="5"/>
  <c r="R110" i="5"/>
  <c r="R112" i="5"/>
  <c r="R113" i="5"/>
  <c r="R115" i="5"/>
  <c r="R116" i="5"/>
  <c r="R117" i="5"/>
  <c r="R119" i="5"/>
  <c r="R120" i="5"/>
  <c r="P15" i="1" l="1"/>
  <c r="K15" i="1"/>
  <c r="N15" i="1" l="1"/>
  <c r="I10" i="5" l="1"/>
  <c r="E93" i="1" l="1"/>
  <c r="T30" i="1" l="1"/>
  <c r="K70" i="5" l="1"/>
  <c r="L71" i="5"/>
  <c r="L146" i="5" l="1"/>
  <c r="L140" i="5"/>
  <c r="L138" i="5"/>
  <c r="L136" i="5"/>
  <c r="L135" i="5"/>
  <c r="L133" i="5"/>
  <c r="L131" i="5"/>
  <c r="L129" i="5"/>
  <c r="L126" i="5"/>
  <c r="L125" i="5"/>
  <c r="L124" i="5"/>
  <c r="L123" i="5"/>
  <c r="L120" i="5"/>
  <c r="L119" i="5"/>
  <c r="L117" i="5"/>
  <c r="L116" i="5"/>
  <c r="L115" i="5"/>
  <c r="L113" i="5"/>
  <c r="L112" i="5"/>
  <c r="L110" i="5"/>
  <c r="L107" i="5"/>
  <c r="L105" i="5"/>
  <c r="L103" i="5"/>
  <c r="L100" i="5"/>
  <c r="L73" i="5"/>
  <c r="L75" i="5"/>
  <c r="L76" i="5"/>
  <c r="L77" i="5"/>
  <c r="L78" i="5"/>
  <c r="L79" i="5"/>
  <c r="L80" i="5"/>
  <c r="L87" i="5"/>
  <c r="L72" i="5"/>
  <c r="L67" i="5"/>
  <c r="L58" i="5"/>
  <c r="L56" i="5"/>
  <c r="S56" i="5" s="1"/>
  <c r="L50" i="5"/>
  <c r="L54" i="5"/>
  <c r="L49" i="5"/>
  <c r="L46" i="5"/>
  <c r="L42" i="5" l="1"/>
  <c r="L41" i="5"/>
  <c r="L36" i="5"/>
  <c r="L34" i="5"/>
  <c r="L32" i="5"/>
  <c r="L31" i="5"/>
  <c r="L30" i="5"/>
  <c r="L29" i="5"/>
  <c r="L27" i="5"/>
  <c r="L24" i="5"/>
  <c r="L22" i="5"/>
  <c r="L21" i="5"/>
  <c r="L20" i="5"/>
  <c r="L19" i="5"/>
  <c r="L18" i="5"/>
  <c r="L17" i="5"/>
  <c r="L16" i="5"/>
  <c r="N16" i="5" s="1"/>
  <c r="L15" i="5"/>
  <c r="N15" i="5" s="1"/>
  <c r="L14" i="5"/>
  <c r="N14" i="5" s="1"/>
  <c r="L13" i="5"/>
  <c r="N13" i="5" s="1"/>
  <c r="N12" i="5" s="1"/>
  <c r="K97" i="5" l="1"/>
  <c r="K12" i="5" l="1"/>
  <c r="K152" i="5" s="1"/>
  <c r="I56" i="5" l="1"/>
  <c r="R56" i="5" s="1"/>
  <c r="J10" i="5" l="1"/>
  <c r="K10" i="5"/>
  <c r="AD66" i="1" l="1"/>
  <c r="E15" i="1" l="1"/>
  <c r="AB28" i="1" l="1"/>
  <c r="AH26" i="1" l="1"/>
  <c r="AB23" i="1" l="1"/>
  <c r="AB16" i="1"/>
  <c r="AB17" i="1"/>
  <c r="AB18" i="1"/>
  <c r="AB19" i="1"/>
  <c r="AB20" i="1"/>
  <c r="AB21" i="1"/>
  <c r="AB22" i="1"/>
  <c r="AB24" i="1"/>
  <c r="AB26" i="1"/>
  <c r="AB27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7" i="1"/>
  <c r="AB68" i="1"/>
  <c r="AB70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7" i="1"/>
  <c r="AB88" i="1"/>
  <c r="AB89" i="1"/>
  <c r="AB91" i="1"/>
  <c r="AB92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C16" i="1" l="1"/>
  <c r="AD11" i="1"/>
  <c r="AE11" i="1"/>
  <c r="T86" i="1" l="1"/>
  <c r="L10" i="5" l="1"/>
  <c r="M10" i="5"/>
  <c r="N10" i="5"/>
  <c r="S10" i="5" s="1"/>
  <c r="O10" i="5"/>
  <c r="P10" i="5"/>
  <c r="I12" i="5"/>
  <c r="R12" i="5" s="1"/>
  <c r="J56" i="5"/>
  <c r="J12" i="5" s="1"/>
  <c r="L12" i="5"/>
  <c r="P12" i="5"/>
  <c r="J70" i="5"/>
  <c r="N70" i="5"/>
  <c r="S70" i="5" s="1"/>
  <c r="O152" i="5"/>
  <c r="P70" i="5"/>
  <c r="P97" i="5"/>
  <c r="I99" i="5"/>
  <c r="R99" i="5" s="1"/>
  <c r="J99" i="5"/>
  <c r="L99" i="5" s="1"/>
  <c r="M97" i="5"/>
  <c r="I104" i="5"/>
  <c r="J104" i="5"/>
  <c r="S12" i="5" l="1"/>
  <c r="R70" i="5"/>
  <c r="R10" i="5"/>
  <c r="I101" i="5"/>
  <c r="R101" i="5" s="1"/>
  <c r="R104" i="5"/>
  <c r="P152" i="5"/>
  <c r="L104" i="5"/>
  <c r="N97" i="5"/>
  <c r="M152" i="5"/>
  <c r="I97" i="5"/>
  <c r="J101" i="5"/>
  <c r="J97" i="5" s="1"/>
  <c r="T71" i="1"/>
  <c r="T66" i="1"/>
  <c r="N152" i="5" l="1"/>
  <c r="S97" i="5"/>
  <c r="I152" i="5"/>
  <c r="R152" i="5" s="1"/>
  <c r="R97" i="5"/>
  <c r="L101" i="5"/>
  <c r="J152" i="5"/>
  <c r="S152" i="5" s="1"/>
  <c r="Y42" i="1"/>
  <c r="L97" i="5" l="1"/>
  <c r="L152" i="5" l="1"/>
  <c r="N85" i="1"/>
  <c r="K93" i="1" l="1"/>
  <c r="P71" i="1" l="1"/>
  <c r="P66" i="1"/>
  <c r="AC32" i="1"/>
  <c r="P69" i="1" l="1"/>
  <c r="K66" i="1"/>
  <c r="AB66" i="1" s="1"/>
  <c r="P65" i="1" l="1"/>
  <c r="AC106" i="1"/>
  <c r="I85" i="1"/>
  <c r="K90" i="1"/>
  <c r="K86" i="1"/>
  <c r="K71" i="1"/>
  <c r="E66" i="1"/>
  <c r="AB15" i="1"/>
  <c r="D15" i="1"/>
  <c r="K85" i="1" l="1"/>
  <c r="K69" i="1"/>
  <c r="AB71" i="1"/>
  <c r="T15" i="1"/>
  <c r="F15" i="1"/>
  <c r="G15" i="1"/>
  <c r="H15" i="1"/>
  <c r="I15" i="1"/>
  <c r="J15" i="1"/>
  <c r="L15" i="1"/>
  <c r="M15" i="1"/>
  <c r="O15" i="1"/>
  <c r="Q15" i="1"/>
  <c r="R15" i="1"/>
  <c r="S15" i="1"/>
  <c r="D85" i="1"/>
  <c r="AC39" i="1"/>
  <c r="AC17" i="1"/>
  <c r="AC18" i="1"/>
  <c r="AC19" i="1"/>
  <c r="AC20" i="1"/>
  <c r="AC21" i="1"/>
  <c r="AC22" i="1"/>
  <c r="AC23" i="1"/>
  <c r="AC24" i="1"/>
  <c r="AC27" i="1"/>
  <c r="AC28" i="1"/>
  <c r="AC30" i="1"/>
  <c r="AC31" i="1"/>
  <c r="AC33" i="1"/>
  <c r="AC34" i="1"/>
  <c r="AC36" i="1"/>
  <c r="AC37" i="1"/>
  <c r="AC41" i="1"/>
  <c r="AC42" i="1"/>
  <c r="AC43" i="1"/>
  <c r="AC47" i="1"/>
  <c r="AC48" i="1"/>
  <c r="AC49" i="1"/>
  <c r="AC50" i="1"/>
  <c r="AC51" i="1"/>
  <c r="AC53" i="1"/>
  <c r="AC54" i="1"/>
  <c r="AC55" i="1"/>
  <c r="AC56" i="1"/>
  <c r="AC57" i="1"/>
  <c r="AC58" i="1"/>
  <c r="AC59" i="1"/>
  <c r="AC60" i="1"/>
  <c r="AC62" i="1"/>
  <c r="AC63" i="1"/>
  <c r="AC64" i="1"/>
  <c r="AC66" i="1"/>
  <c r="AC70" i="1"/>
  <c r="AC73" i="1"/>
  <c r="AC74" i="1"/>
  <c r="AC75" i="1"/>
  <c r="AC76" i="1"/>
  <c r="AC77" i="1"/>
  <c r="AC78" i="1"/>
  <c r="AC79" i="1"/>
  <c r="AC80" i="1"/>
  <c r="AC84" i="1"/>
  <c r="AC91" i="1"/>
  <c r="AC92" i="1"/>
  <c r="AC95" i="1"/>
  <c r="AC96" i="1"/>
  <c r="AC97" i="1"/>
  <c r="AC98" i="1"/>
  <c r="AC99" i="1"/>
  <c r="AC100" i="1"/>
  <c r="AC101" i="1"/>
  <c r="AC103" i="1"/>
  <c r="AC104" i="1"/>
  <c r="AC105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20" i="1"/>
  <c r="AC122" i="1"/>
  <c r="AC123" i="1"/>
  <c r="AC125" i="1"/>
  <c r="E86" i="1"/>
  <c r="S65" i="1"/>
  <c r="R65" i="1"/>
  <c r="Q65" i="1"/>
  <c r="O65" i="1"/>
  <c r="N65" i="1"/>
  <c r="N11" i="1" s="1"/>
  <c r="M65" i="1"/>
  <c r="L65" i="1"/>
  <c r="J65" i="1"/>
  <c r="I65" i="1"/>
  <c r="H65" i="1"/>
  <c r="G65" i="1"/>
  <c r="F65" i="1"/>
  <c r="D65" i="1"/>
  <c r="E71" i="1"/>
  <c r="E69" i="1" s="1"/>
  <c r="AB69" i="1" l="1"/>
  <c r="K65" i="1"/>
  <c r="AB65" i="1" s="1"/>
  <c r="E90" i="1"/>
  <c r="E85" i="1" s="1"/>
  <c r="E65" i="1"/>
  <c r="AC14" i="1" l="1"/>
  <c r="AC94" i="1" l="1"/>
  <c r="AC87" i="1"/>
  <c r="AC72" i="1"/>
  <c r="P86" i="1" l="1"/>
  <c r="AB86" i="1" s="1"/>
  <c r="S85" i="1" l="1"/>
  <c r="R85" i="1"/>
  <c r="Q85" i="1"/>
  <c r="O85" i="1"/>
  <c r="M85" i="1"/>
  <c r="L85" i="1"/>
  <c r="T93" i="1" l="1"/>
  <c r="T85" i="1" s="1"/>
  <c r="AB93" i="1"/>
  <c r="J85" i="1"/>
  <c r="I11" i="1"/>
  <c r="H85" i="1"/>
  <c r="G85" i="1"/>
  <c r="F85" i="1"/>
  <c r="P90" i="1" l="1"/>
  <c r="D11" i="1"/>
  <c r="S11" i="1"/>
  <c r="E11" i="1"/>
  <c r="F11" i="1"/>
  <c r="J11" i="1"/>
  <c r="G11" i="1"/>
  <c r="H11" i="1"/>
  <c r="L11" i="1"/>
  <c r="Q11" i="1"/>
  <c r="R11" i="1"/>
  <c r="O11" i="1"/>
  <c r="T69" i="1"/>
  <c r="M11" i="1"/>
  <c r="P85" i="1" l="1"/>
  <c r="AB85" i="1" s="1"/>
  <c r="AB90" i="1"/>
  <c r="T65" i="1"/>
  <c r="T11" i="1" s="1"/>
  <c r="P11" i="1" l="1"/>
  <c r="K11" i="1"/>
</calcChain>
</file>

<file path=xl/sharedStrings.xml><?xml version="1.0" encoding="utf-8"?>
<sst xmlns="http://schemas.openxmlformats.org/spreadsheetml/2006/main" count="1317" uniqueCount="455">
  <si>
    <t xml:space="preserve">ОТЧЕТ </t>
  </si>
  <si>
    <t>об исполнении финансирования государственной программы Краснодарского края</t>
  </si>
  <si>
    <t>"Социальная поддержка граждан"</t>
  </si>
  <si>
    <t xml:space="preserve">наименование государственной программы </t>
  </si>
  <si>
    <t>Номер  мероп-риятия</t>
  </si>
  <si>
    <t>Наименование основного мероприятия, подпрограммы, мероприятия подпрограммы, ведомственной целевой программы</t>
  </si>
  <si>
    <t>Государственный заказчик, получатель субсидий (субвенций), ответственный за выполнение мероприятий, исполнитель</t>
  </si>
  <si>
    <t>Объем финансирования в тыс. рублей, предусмотренный на отчетную дату:</t>
  </si>
  <si>
    <t>Профинансировано (кассовое исполнение) в отчетном периоде, тыс. рублей</t>
  </si>
  <si>
    <t>Непосредственный результат реализации мероприятия</t>
  </si>
  <si>
    <t xml:space="preserve">Отметка о выполнении мероприятия </t>
  </si>
  <si>
    <t xml:space="preserve">Причины невыполнения (несвоевременного выполнения) мероприятия </t>
  </si>
  <si>
    <t>уточненной сводной бюджетной росписью</t>
  </si>
  <si>
    <t>соглашениями с муниципальными образованиями</t>
  </si>
  <si>
    <t>федеральный бюджет</t>
  </si>
  <si>
    <t>краевой бюджет</t>
  </si>
  <si>
    <r>
      <t>краевой бюджет</t>
    </r>
    <r>
      <rPr>
        <i/>
        <vertAlign val="superscript"/>
        <sz val="28"/>
        <rFont val="Times New Roman"/>
        <family val="1"/>
        <charset val="204"/>
      </rPr>
      <t>6)</t>
    </r>
  </si>
  <si>
    <t>местный бюджет</t>
  </si>
  <si>
    <t>внебюджетные  источники</t>
  </si>
  <si>
    <t>наименование</t>
  </si>
  <si>
    <t>единица измерения</t>
  </si>
  <si>
    <t>плановое значение</t>
  </si>
  <si>
    <t>фактическое значение</t>
  </si>
  <si>
    <t>ВСЕГО 
по государственной программе, в том числе:</t>
  </si>
  <si>
    <t>Х</t>
  </si>
  <si>
    <t>Всего
по основным мероприятиям государственной программы, в том числе:</t>
  </si>
  <si>
    <t>1.1.1.1</t>
  </si>
  <si>
    <t>министерство труда и социального развития Краснодарского края</t>
  </si>
  <si>
    <t>1.</t>
  </si>
  <si>
    <t>Всего по подпрограмме , "Развитие мер социальной поддержки отдельных категорий граждан" в том числе:</t>
  </si>
  <si>
    <t>человек</t>
  </si>
  <si>
    <t>выполнено</t>
  </si>
  <si>
    <t>1.1.1.2</t>
  </si>
  <si>
    <t>1.1.1.3</t>
  </si>
  <si>
    <t>1.1.2.2</t>
  </si>
  <si>
    <t>1.1.2.3</t>
  </si>
  <si>
    <t>1.1.2.4</t>
  </si>
  <si>
    <t>1.1.2.5</t>
  </si>
  <si>
    <t>1.3</t>
  </si>
  <si>
    <t>1.1.3.2</t>
  </si>
  <si>
    <t>семей</t>
  </si>
  <si>
    <t>1.1.3.3</t>
  </si>
  <si>
    <t>1.1.3.4</t>
  </si>
  <si>
    <t>1.1.3.5</t>
  </si>
  <si>
    <t>1.1.4</t>
  </si>
  <si>
    <t>1.1.4.1</t>
  </si>
  <si>
    <t>1.1.4.2</t>
  </si>
  <si>
    <t>1.1.4.3</t>
  </si>
  <si>
    <t>1.5</t>
  </si>
  <si>
    <t>1.1.5.2</t>
  </si>
  <si>
    <t>1.1.5.4</t>
  </si>
  <si>
    <t>1.1.5.5</t>
  </si>
  <si>
    <t>1.1.6.1</t>
  </si>
  <si>
    <t>1.1.6.2</t>
  </si>
  <si>
    <t>1.1.7.2</t>
  </si>
  <si>
    <t>1.1.7.3</t>
  </si>
  <si>
    <t>1.1.7.5</t>
  </si>
  <si>
    <t>1.1.7.6</t>
  </si>
  <si>
    <t>1.1.7.7</t>
  </si>
  <si>
    <t>1.1.8.2</t>
  </si>
  <si>
    <t>1.1.8.3</t>
  </si>
  <si>
    <t>1.1.8.5</t>
  </si>
  <si>
    <t>тыс. чел.</t>
  </si>
  <si>
    <t>1.1.8.6</t>
  </si>
  <si>
    <t>тыс.штук</t>
  </si>
  <si>
    <t>1.1.9.1</t>
  </si>
  <si>
    <t>Оказание государственной социальной помощи малоимущим семьям, малоимущим одиноко проживающим гражданам</t>
  </si>
  <si>
    <t>1.1.10.3</t>
  </si>
  <si>
    <t>1.1.10.4</t>
  </si>
  <si>
    <t>0</t>
  </si>
  <si>
    <t xml:space="preserve">человек </t>
  </si>
  <si>
    <t>2.</t>
  </si>
  <si>
    <t>Всего по подпрограмме  "Модернизация и развитие социального обслуживания населения" в  том числе:</t>
  </si>
  <si>
    <t>1.1.1</t>
  </si>
  <si>
    <t>Организация профессионального образования и дополнительного профессионального образования работников государственных учреждений Краснодарского края, в том числе:</t>
  </si>
  <si>
    <t>казенных учреждений</t>
  </si>
  <si>
    <t>1.1.1.2.1</t>
  </si>
  <si>
    <t>предоставление субсидий государственным бюджетным и автономным учреждениям</t>
  </si>
  <si>
    <t>1.1.2.1</t>
  </si>
  <si>
    <t xml:space="preserve">Финансовое обеспечение деятельности государственных учреждений, функции и полномочия учредителя в отношении которых осуществляет министерство труда и социального развития Краснодарского края, в том числе: </t>
  </si>
  <si>
    <t>1.1.2.1.1</t>
  </si>
  <si>
    <t>казенные учреждения</t>
  </si>
  <si>
    <t>учреждений</t>
  </si>
  <si>
    <t>1.1.2.1.2</t>
  </si>
  <si>
    <t>предоставление субсидий государственным бюджетным и автономным учреждениям, в том числе:</t>
  </si>
  <si>
    <t>1.1.2.1.2.1</t>
  </si>
  <si>
    <t>на финансовое обеспечение выполнения ими государственного задания</t>
  </si>
  <si>
    <t>1.1.2.1.2.2</t>
  </si>
  <si>
    <t>на осуществление капитального ремонта</t>
  </si>
  <si>
    <t>1.1.2.1.2.3</t>
  </si>
  <si>
    <t xml:space="preserve"> транспортные средства </t>
  </si>
  <si>
    <t>1.1.3.6</t>
  </si>
  <si>
    <t>компьютерных мест</t>
  </si>
  <si>
    <t>1.1.3.7</t>
  </si>
  <si>
    <t>1.1.3.8</t>
  </si>
  <si>
    <t>1.1.3.9</t>
  </si>
  <si>
    <t xml:space="preserve">технические средства </t>
  </si>
  <si>
    <t>1.1.3.11</t>
  </si>
  <si>
    <t>процент</t>
  </si>
  <si>
    <t>3</t>
  </si>
  <si>
    <t xml:space="preserve"> Всего по подпрограмме "Совершенствование социальной поддержки семьи и детей" в том числе:</t>
  </si>
  <si>
    <t>1.1.1.3.1</t>
  </si>
  <si>
    <t>1.1.1.3.2</t>
  </si>
  <si>
    <t>предоставление субсидий государственным  бюджетным и автономным учреждениям, в том числе:</t>
  </si>
  <si>
    <t>1.1.1.3.2.1</t>
  </si>
  <si>
    <t>1.1.1.3.2.2</t>
  </si>
  <si>
    <t>1.1.1.3.2.3</t>
  </si>
  <si>
    <t>Предоставление субсидий государственным автономным учреждениям на обеспечение детей первых шести месяцев жизни, родившихся не ранее 1 августа 2014 г. и находящихся на смешанном или искусственном вскармливании, из семей со среднедушевым доходом, размер которого не  превышает величины прожиточного минимума на душу населения, установленного в Краснодарском крае, по  заключению врача полноценным питанием посредством бесплатного предоставления специализированных продуктов детского питания  в соответствии с Законом Краснодарского края от 30 июня 1997 г. № 90-КЗ "Об охране здоровья населения Краснодарского края"</t>
  </si>
  <si>
    <t>1.1.2.6</t>
  </si>
  <si>
    <t>1.1.2.9</t>
  </si>
  <si>
    <t>1.1.2.10</t>
  </si>
  <si>
    <t>Выплата единовременного пособия при всех формах устройства детей, лишенных родительского попечения, в семью</t>
  </si>
  <si>
    <t>штук</t>
  </si>
  <si>
    <t>1.1.4.4</t>
  </si>
  <si>
    <t>1.1.4.5</t>
  </si>
  <si>
    <t>1.1.4.6</t>
  </si>
  <si>
    <t>1.1.4.7</t>
  </si>
  <si>
    <t>1.1.4.8</t>
  </si>
  <si>
    <t>1.1.5.1</t>
  </si>
  <si>
    <t>ОТЧЕТ</t>
  </si>
  <si>
    <t>о достижении целевых показателей государственной программы Краснодарского края</t>
  </si>
  <si>
    <t>Номер целевого показателя</t>
  </si>
  <si>
    <t>Наименование целевого показателя</t>
  </si>
  <si>
    <t>Единица измерения</t>
  </si>
  <si>
    <t>Причины недостижения фактического значения показателя в отчетном периоде</t>
  </si>
  <si>
    <t>текущий отчетный период</t>
  </si>
  <si>
    <t>факт</t>
  </si>
  <si>
    <t>план</t>
  </si>
  <si>
    <t>Государственная программа Краснодарского края  «Социальная поддержка граждан»</t>
  </si>
  <si>
    <t>1.1</t>
  </si>
  <si>
    <t>Число граждан, получивших документы на право пользования мерами социальной поддержки</t>
  </si>
  <si>
    <t>1.2</t>
  </si>
  <si>
    <t>Соотношение средней заработной платы социальных работников государственных учреждений со средней заработной платой в Краснодарском крае</t>
  </si>
  <si>
    <t>%</t>
  </si>
  <si>
    <t>Удельный вес детей-сирот и детей, оставшихся без попечения родителей, переданных на воспитание в семью (от общей численности вновь выявленных детей за отчетный период)</t>
  </si>
  <si>
    <t>1.4</t>
  </si>
  <si>
    <t>Доля государственных учреждений, предоставляющих информацию об энергосбережении и повышении энергетической эффективности (энергетические декларации) в электронном виде</t>
  </si>
  <si>
    <t>Доля государственных учреждений, оснащенных приборами учета тепловой энергии</t>
  </si>
  <si>
    <t>1.6</t>
  </si>
  <si>
    <t>Удельный вес учреждений социального обслуживания, основанный на иных формах собственности (кроме государственных учреждений), в общем количестве учреждений социального обслуживания всех форм собственности</t>
  </si>
  <si>
    <t>1.7</t>
  </si>
  <si>
    <t>Доля государственных бюджетных (автономных, казенных) учреждений социального обслуживания, подведомственных министерству труда и социального развития Краснодарского края, в отношении которых проведена независимая оценка качества оказания услуг, от общего их количества</t>
  </si>
  <si>
    <t>1.8</t>
  </si>
  <si>
    <t xml:space="preserve">Удельный расход электрической энергии на снабжение государственных учреждений
</t>
  </si>
  <si>
    <t xml:space="preserve">кВт-ч/кв. м
</t>
  </si>
  <si>
    <t>1.9</t>
  </si>
  <si>
    <t xml:space="preserve">Удельный расход тепловой энергии на снабжение государственных учреждений
</t>
  </si>
  <si>
    <t xml:space="preserve">Гкал/кв. м
</t>
  </si>
  <si>
    <t xml:space="preserve">  1.10
</t>
  </si>
  <si>
    <t xml:space="preserve">Удельный расход холодной воды на снабжение государственных учреждений
</t>
  </si>
  <si>
    <t xml:space="preserve">куб. м/кв. м
</t>
  </si>
  <si>
    <t xml:space="preserve"> 1.11
</t>
  </si>
  <si>
    <t xml:space="preserve">Доля светодиодных источников света в освещении зданий от общего количества источников света в зданиях
</t>
  </si>
  <si>
    <t xml:space="preserve">%
</t>
  </si>
  <si>
    <t>1.12</t>
  </si>
  <si>
    <t xml:space="preserve">Доля зданий, строений, сооружений, оснащенных индивидуальными тепловыми пунктами с автоматическим регулированием температуры теплоносителя, находящихся на праве оперативного управления или ином законном основании, от общего количества указанных зданий, строений, сооружений
</t>
  </si>
  <si>
    <t>1.13</t>
  </si>
  <si>
    <t xml:space="preserve">Удовлетворенность получателей социальных услуг в оказанных социальных услугах, процентов
</t>
  </si>
  <si>
    <t>1.14</t>
  </si>
  <si>
    <t xml:space="preserve">Доля населения с денежными доходами ниже величины прожиточного минимума в Краснодарском крае в общей численности населения Краснодарского края, процентов
</t>
  </si>
  <si>
    <t>2.1</t>
  </si>
  <si>
    <t>Подпрограмма   «Развитие мер социальной поддержки отдельных категорий граждан»</t>
  </si>
  <si>
    <t>2.1.3</t>
  </si>
  <si>
    <t xml:space="preserve">Доля граждан, получивших меры социальной поддержки, в общей численности граждан, имеющих право на их получение и обратившихся за их получением
</t>
  </si>
  <si>
    <t>2.2</t>
  </si>
  <si>
    <t>Подпрограмма  «Модернизация и развитие социального обслуживания населения»</t>
  </si>
  <si>
    <t>2.2.1</t>
  </si>
  <si>
    <t>Доля пожилых граждан и инвалидов, получивших социальные услуги в учреждениях социального обслуживания населения, в общем числе граждан, обратившихся за получением социальных услуг в учреждениях социального обслуживания</t>
  </si>
  <si>
    <t>2.2.2</t>
  </si>
  <si>
    <t>Количество граждан пожилого возраста и инвалидов, пользующихся услугами сиделок</t>
  </si>
  <si>
    <t>2.2.3</t>
  </si>
  <si>
    <t>Количество выданных технических средств реабилитации (ТСР)</t>
  </si>
  <si>
    <t>единиц</t>
  </si>
  <si>
    <t>2.2.4</t>
  </si>
  <si>
    <t>Количество граждан, прошедших обучение в школе по уходу</t>
  </si>
  <si>
    <t>2.3</t>
  </si>
  <si>
    <t>Подпрограмма «Совершенствование социальной поддержки семьи и детей»</t>
  </si>
  <si>
    <t>2.3.1</t>
  </si>
  <si>
    <t>Удельный вес несовершеннолетних, возвращенных в физиологическую семью и переданных на воспитание в замещающие семьи (от общего числа несовершеннолетних, выведенных из учреждения после прохождения курса социальной реабилитации в государственных казенных учреждениях социального обслуживания Краснодарского края - социально-реабилитационных центрах для несовершеннолетних, нуждающихся в социальной реабилитации)</t>
  </si>
  <si>
    <t>2.3.2</t>
  </si>
  <si>
    <t>Суммарный коэффициент рождаемости
(число детей на одну женщину)</t>
  </si>
  <si>
    <t>2.3.3</t>
  </si>
  <si>
    <t>Коэффициент рождаемости в Краснодарском крае возрастной группе 25-29 лет (число родившихся на 1000 женщин соответствующего возраста)</t>
  </si>
  <si>
    <t>2.3.4</t>
  </si>
  <si>
    <t>Коэффициент рождаемости в Краснодарском крае возрастной группе 30-34 лет (число родившихся на 1000 женщин соответствующего возраста)</t>
  </si>
  <si>
    <t xml:space="preserve">                                          </t>
  </si>
  <si>
    <t xml:space="preserve">  о выполнении плана реализации</t>
  </si>
  <si>
    <t xml:space="preserve">                                            </t>
  </si>
  <si>
    <t xml:space="preserve">              государственной программы Краснодарского края "Социальная поддержка граждан"</t>
  </si>
  <si>
    <t xml:space="preserve">                                                     </t>
  </si>
  <si>
    <t xml:space="preserve">Номер основного мероприятия, контрольного события, мероприятия </t>
  </si>
  <si>
    <t>Наименование подпрограммы, отдельного мероприятия, ведомственной целевой программы, контрольного события</t>
  </si>
  <si>
    <t xml:space="preserve">Статус </t>
  </si>
  <si>
    <t>Ответственный за реализацию мероприятия, выполнение контрольного события</t>
  </si>
  <si>
    <t>Плановый срок начала реализации мероприятия</t>
  </si>
  <si>
    <t xml:space="preserve">Плановый срок окончания реализации мероприятия, наступления контрольного события </t>
  </si>
  <si>
    <t xml:space="preserve">Фактический срок начала реализации мероприятия </t>
  </si>
  <si>
    <t xml:space="preserve">Фактический срок окончания реализации мероприятия              наступления контрольного события </t>
  </si>
  <si>
    <t>Поквартальное распределение прогноза кассовых выплат из краевого бюджета, тыс.рублей</t>
  </si>
  <si>
    <t xml:space="preserve">Причины несоблюдения планового срока реализации, неисполнения финансирования и меры по исполнению мероприятия или контрольного события </t>
  </si>
  <si>
    <t>I</t>
  </si>
  <si>
    <t>II</t>
  </si>
  <si>
    <t>III</t>
  </si>
  <si>
    <t>IV</t>
  </si>
  <si>
    <t xml:space="preserve">Основное мерориятие </t>
  </si>
  <si>
    <t>Подпрограмма № 1 "Развитие мер социальной поддержки отдельных категорий граждан"</t>
  </si>
  <si>
    <t>Социальная поддержка военнослужащих, родителей и вдов военнослужащих, лиц рядового и начальствующего состава органов внутренних дел и сотрудников органов федеральной службы безопасности</t>
  </si>
  <si>
    <t xml:space="preserve">Контрольное событие 1.2
Оказание мер социальной поддержки отдельным категориям граждан
</t>
  </si>
  <si>
    <t>Подпрограмма № 2 "Модернизация и развитие социального обслуживания населения"</t>
  </si>
  <si>
    <t>Финансовое обеспечение деятельности государственных учреждений, функции и полномочия учредителя в отношении которых осуществляет министерство труда и социального развития Краснодарского края, в том числе:</t>
  </si>
  <si>
    <t>Предоставление субсидий государственным бюджетным и автономным учреждениям на организацию для граждан пожилого возраста и (или) инвалидов обучения в компьютерных классах и клубах на базе государственных бюджетных и автономных учреждений Краснодарского края</t>
  </si>
  <si>
    <t>1.1.3.14</t>
  </si>
  <si>
    <t>3.</t>
  </si>
  <si>
    <t>Подпрограмма № 3 "Совершенствование социальной поддержки семьи и детей"</t>
  </si>
  <si>
    <t>Финансовое обеспечение деятельности государственных учреждений социального обслуживания и государственных учреждений, осуществляющих деятельность в сфере семейной политики и отдыха и оздоровления детей</t>
  </si>
  <si>
    <t>Финансовое обеспечение деятельности государственных учреждений социального обслуживания Краснодарского края, функции и полномочия учредителя в отношении которых осуществляет министерство труда и социального развития Краснодарского края, в том числе:</t>
  </si>
  <si>
    <t>Ежегоная денежная выплата многодетным семьям</t>
  </si>
  <si>
    <t>Выплата компенсаций в виде субсидий за предоставление социальных услуг (оказываемых детям с ограниченными возможностями здоровья, а также детям, находящимся в социально опасном положении, в трудной жизненной ситуации) поставщикам социальных услуг, включенным в реестр поставщиков социальных услуг и не участвующим в выполнении государственного задания (заказа) (за исключением выплаты компенсаций в виде субсидий, предусмотренных подпунктом 1.1.6.1 настоящего пункта)</t>
  </si>
  <si>
    <t xml:space="preserve">Контрольное 
событие 3.1
Реализация мер социальной поддержки детей-сирот и детей, оставшихся без попечения родителей
</t>
  </si>
  <si>
    <t xml:space="preserve">Контрольное 
событие 3.2
Оказание мер социальной поддержки гражданам, имеющим детей 
</t>
  </si>
  <si>
    <t>Итого по государственной программе:</t>
  </si>
  <si>
    <t>О.Г. Лычагина</t>
  </si>
  <si>
    <t>2.3.5</t>
  </si>
  <si>
    <t>2.3.7</t>
  </si>
  <si>
    <t>2.3.6</t>
  </si>
  <si>
    <t>Суммарный коэффициент рождаемости вторых детей</t>
  </si>
  <si>
    <t>Суммарный коэффициент рождаемости третьих и последующих детей</t>
  </si>
  <si>
    <t>Коэффициент рождаемости в возрасте 35 - 39 лет</t>
  </si>
  <si>
    <t>1.1.11.1</t>
  </si>
  <si>
    <t>начало работ по реконструкции</t>
  </si>
  <si>
    <t>Заключено государственных и муниципальных контрактов на отчетную дату, тыс. рублей</t>
  </si>
  <si>
    <t>Причины неосовения средств по мероприятию</t>
  </si>
  <si>
    <t>Объем финансирования, предусмотренный государственной программой на текущий год, тыс. рублей</t>
  </si>
  <si>
    <t>в стадии реализации</t>
  </si>
  <si>
    <t>х</t>
  </si>
  <si>
    <t>1.1.9.1.1</t>
  </si>
  <si>
    <t>1.1.9.1.2</t>
  </si>
  <si>
    <t>1.1.10.2</t>
  </si>
  <si>
    <t>Значение целевого показателя на:</t>
  </si>
  <si>
    <t>едениц</t>
  </si>
  <si>
    <t>2.3.8</t>
  </si>
  <si>
    <t>Доля детей в возрасте от трех до семи лет включительно, в отношении которых произведена ежемесячная денежная выплата, в общей численности детей этого возраста</t>
  </si>
  <si>
    <t>Начальник отдела координации национальных проектов и государственных программ</t>
  </si>
  <si>
    <t>Тришкин Данил Олегович</t>
  </si>
  <si>
    <t xml:space="preserve"> +7 (861) 259-22-97</t>
  </si>
  <si>
    <t>1.1.2.12</t>
  </si>
  <si>
    <t>-</t>
  </si>
  <si>
    <t>Выполнение мероприятия запланировано в 3 квартале                                         2021 г.</t>
  </si>
  <si>
    <t>босенко</t>
  </si>
  <si>
    <t xml:space="preserve">31.12.2021
</t>
  </si>
  <si>
    <t>достижение показателя запланировано на конец 2021 года</t>
  </si>
  <si>
    <t>2.1.4</t>
  </si>
  <si>
    <t>2.1.5</t>
  </si>
  <si>
    <t>1.1.10</t>
  </si>
  <si>
    <t>Обеспечение жильем отдельных категорий граж-дан</t>
  </si>
  <si>
    <t xml:space="preserve">1.1.11 </t>
  </si>
  <si>
    <t>Улучшение жилищных условий граждан</t>
  </si>
  <si>
    <t xml:space="preserve">Контрольное 
событие 1.1 
Оформление документов на право пользование мерами социальной поддержки отдельным категориям граждан, по вопросам от-несенным к компетенции органов государственной власти Краснодарского края
</t>
  </si>
  <si>
    <t>управления социальной за-щиты населения Красно-дарского края</t>
  </si>
  <si>
    <t>1.1.2</t>
  </si>
  <si>
    <t>Материально-техническое и финансовое обеспечение деятельности государ-ственных учреждений, подве-домственных министерству труда и социального развития Краснодарского края</t>
  </si>
  <si>
    <t>1.1.3</t>
  </si>
  <si>
    <t xml:space="preserve">Обеспечение потребностей граждан пожилых воз-растов, инвалидов, включая детей-инвалидов, в 
социальном 
обслуживании
</t>
  </si>
  <si>
    <t>Компенсация, выплачиваемая поставщикам социальных услуг (оказываемых гражданам старших возрастов, инвалидам, вклю-чая детей-инвалидов), включенным в реестр поставщиков социальных услуг и не участвующим в выполнении госу-дарственного задания (заказа)</t>
  </si>
  <si>
    <t xml:space="preserve">Контрольное событие 2.1
Рост соотношения средней заработной платы соци-альных работников государ-ственных учреждений, функции и полномочия учредителя в отношении которых осуществляет и социального развития Краснодарского края со средней заработной платой в Краснодарском края
</t>
  </si>
  <si>
    <t xml:space="preserve">Контрольное событие 2.2
Развитие материально-технической базы учреждений,обслуживающих пожилых людей и инвалидов в раз-личных условиях социальной сферы
</t>
  </si>
  <si>
    <t xml:space="preserve">Контрольное 
событие 2.3
Работа мобильных бригад в государственных и автономных учреждениях Краснодарского края, предоставляющих социаль-ные услуги на мобильной основе, для оказания неотложных социальных услуг пожилым людям и (или) инвалидам организована во всех сельских муниципальных образованиях края
</t>
  </si>
  <si>
    <t>Обеспечение мер государственной поддержки в связи с беременностью и родами, а также гражданам, имеющим детей</t>
  </si>
  <si>
    <t xml:space="preserve">Единовременные и ежегодные денежные выплаты семьям с детьми
</t>
  </si>
  <si>
    <t>Финансовое обеспечение осу-ществления переданных органам местного само-управления отдельных государственных полно-мочий, направленных на социальную поддержку граждан</t>
  </si>
  <si>
    <t>1.1.5</t>
  </si>
  <si>
    <t>Мероприятия по профилактике безнадзорности и правонарушений несовершеннолетних</t>
  </si>
  <si>
    <t>1.1.6</t>
  </si>
  <si>
    <t xml:space="preserve">Компенсация,
выплачиваемая
поставщикам
социальных услуг (оказываемых детям с ограниченными возможно-стями здоровья, а также детям, находящимся в социально опасном положении, в трудной жизненной ситуации), включенным в реестр поставщиков социальных услуг и не участвующим в выполнении государственного задания (заказа)
</t>
  </si>
  <si>
    <t xml:space="preserve">01.04.2021 
</t>
  </si>
  <si>
    <t>департамент строительства Краснодарского края</t>
  </si>
  <si>
    <t>выполнение мероприятия предусмотрено в 1-4 кв.                  2021 г.</t>
  </si>
  <si>
    <t>выполнение мероприятия предусмотрено в 2-4 кв.                  2021 г.</t>
  </si>
  <si>
    <t>Выполнение мероприятия запланировано в 1-4 кв.                                         2021 г.</t>
  </si>
  <si>
    <t xml:space="preserve">Доля малоимущих граждан, получивших государственную социальную помощь на основании социального контракта, в общей численности малоимущих граждан, получивших государственную социальную помощь
</t>
  </si>
  <si>
    <t xml:space="preserve">Доля граждан, преодолевших трудную жизненную ситуацию, в общей численности получателей государственной социальной помощи на основании социального контракта
</t>
  </si>
  <si>
    <t xml:space="preserve">Предоставление субсидии государственным бюджетным учреждениям Краснодарского края, функции и полномочия учредителя в отношении которых осуществляет министерство труда и социального развития Краснодарского края, на осуществление капитальных вложений в объекты капитального строительства государственной собственности Краснодарского кра
</t>
  </si>
  <si>
    <t xml:space="preserve">Бюджетные инвестиции капитального строительства государственной собственности Краснодарского края в целях реализации инвестиционных проектов социальной инфраструктуры </t>
  </si>
  <si>
    <t xml:space="preserve">Пенсии за выслугу лет лицам, замещавшим должности государственной гражданской службы Краснодарского края
</t>
  </si>
  <si>
    <t xml:space="preserve">Пособия отдельным категориям работников Краснодарского края в соответствии с Законом Краснодарского края от 21 июля 2005 г. N 921-КЗ "О государственной поддержке отдельных категорий работников Краснодарского края"
</t>
  </si>
  <si>
    <t xml:space="preserve">Дополнительное материальное обеспечение лиц, замещавших государственные должности Краснодарского края
</t>
  </si>
  <si>
    <t xml:space="preserve">Предоставление ежегодной денежной выплаты лицам, подвергшимся радиационным воздействиям, и их семьям в соответствии с Законом Краснодарского края от 27 марта 2007 г. N 1209-КЗ "О ежегодной денежной выплате отдельным категориям граждан, подвергшихся радиационным воздействиям, и их семьям
</t>
  </si>
  <si>
    <t xml:space="preserve">Предоставление отдельных мер социальной поддержки граждан, подвергшихся воздействию радиации (за исключением мер социальной поддержки, предусмотренных подпунктами 1.1.2.2 и 1.1.3.3 настоящего раздела)
</t>
  </si>
  <si>
    <t xml:space="preserve">Предоставление гражданам государственных единовременных пособий и ежемесячных денежных компенсаций при возникновении поствакцинальных осложнений
</t>
  </si>
  <si>
    <t xml:space="preserve">Ежемесячные денежные выплаты ветеранам труда и ветеранам военной службы, достигшим возраста 60 и 55 лет (соответственно мужчины и женщины), либо после назначения им пенсии в территориальных органах Пенсионного фонда Российской Федерации, жертвам политических репрессий, достигшим возраста 60 и 55 лет (соответственно мужчины и женщины), либо являющимся пенсионерами, труженикам тыла, - жителям Краснодарского края (за исключением мер социальной поддержки, предусмотренных подпунктом 1.1.2.1 настоящего пункта)
</t>
  </si>
  <si>
    <t xml:space="preserve">Предоставление субсидий на оплату жилого помещения и коммунальных услуг гражданам, расходы которых на оплату жилого помещения и коммунальных услуг превышают региональный стандарт максимально допустимой доли таких расходов, установленный в размере 22 процентов от совокупного дохода семьи
</t>
  </si>
  <si>
    <t xml:space="preserve">Предоставление мер социальной поддержки по оплате жилищно-коммунальных услуг отдельным категориям граждан в соответствии с Федеральным законом от 24 ноября 1995 г. N 181-ФЗ "О социальной защите инвалидов в Российской Федерации"; Законами Российской Федерации от 12 января 1995 г. N 5-ФЗ "О ветеранах"; от 15 мая 1991 г. N 1244-1 "О социальной защите граждан, подвергшихся воздействию радиации вследствие катастрофы на Чернобыльской АЭС"
</t>
  </si>
  <si>
    <t xml:space="preserve">Предоставление мер социальной поддержки отдельным категориям граждан, проживающим на территории Краснодарского края, по оплате взносов на капитальный ремонт общего имущества собственников помещений в многоквартирном доме в соответствии с Законом Краснодарского края от 28 декабря 2015 г. N 3316-КЗ "О мерах социальной поддержки отдельных категорий граждан, проживающих на территории Краснодарского края, по оплате взносов на капитальный ремонт общего имущества собственников помещений в многоквартирном доме"
</t>
  </si>
  <si>
    <t xml:space="preserve">Компенсация расходов на оплату жилого помещения и коммунальных услуг ветеранам труда и ветеранам военной службы, достигшим возраста 60 и 55 лет (соответственно мужчины и женщины), либо после назначения им пенсии в территориальных органах Пенсионного фонда Российской Федерации, жертвам политических репрессий, достигшим возраста 60 и 55 лет (соответственно мужчины и женщины), либо являющимся пенсионерами, постоянно проживающим на территории Краснодарского края (за исключением мер социальной поддержки, предусмотренных подпунктом 1.1.3.1 настоящего пункта)
</t>
  </si>
  <si>
    <t xml:space="preserve">Выплата компенсации гражданам в случае, если фактическое увеличение размера платы за коммунальные услуги, вносимой гражданином, потребляющим коммунальные услуги при использовании жилого помещения и (или) жилого дома, превышает размер установленного для соответствующего муниципального образования Краснодарского края предельного (максимального) индекса изменения размера вносимой гражданами платы за коммунальные услуги
</t>
  </si>
  <si>
    <t xml:space="preserve">Выплата ежемесячного пособия вдовам военнослужащих, лиц рядового и начальствующего состава органов внутренних дел и сотрудников органов Федеральной службы безопасности, погибших при исполнении обязанностей военной службы (служебных обязанностей), в соответствии с Законом Краснодарского края от 5 ноября 2002 г. N 537-КЗ "О ежемесячном пособии вдовам военнослужащих, лиц рядового и начальствующего состава органов внутренних дел и сотрудников органов Федеральной службы безопасности, погибших при исполнении обязанностей военной службы (служебных обязанностей)"
</t>
  </si>
  <si>
    <t xml:space="preserve">Предоставление ежемесячного пособия родителям военнослужащих, лиц рядового и начальствующего состава органов внутренних дел и сотрудников органов Федеральной службы безопасности, погибших при исполнении обязанностей военной службы (служебных обязанностей), в соответствии с Законом Краснодарского края от 7 июня 2004 г. N 719-КЗ "О ежемесячном пособии родителям военнослужащих, лиц рядового и начальствующего состава органов внутренних дел и сотрудников органов Федеральной службы безопасности, погибших при исполнении обязанностей военной службы (служебных обязанностей)"
</t>
  </si>
  <si>
    <t xml:space="preserve">Социальная поддержка инвалидов боевых действий и членов семей военнослужащих, погибших при исполнении воинского долга
</t>
  </si>
  <si>
    <t xml:space="preserve">Предоставление денежной компенсации за бензин, ремонт, техническое обслуживание транспортных средств и запасные части к ним некоторым категориям инвалидов из числа ветеранов в соответствии с Законом Краснодарского края от 29 апреля 2008 г. N 1457-КЗ "О компенсации расходов, связанных с эксплуатацией транспортных средств, некоторым категориям жителей Краснодарского края"
</t>
  </si>
  <si>
    <t xml:space="preserve">Предоставление инвалидам (в том числе детям-инвалидам), имеющим транспортные средства в соответствии с медицинскими показаниями, или их законным представителям компенсации страховых премий по договору обязательного страхования гражданской ответственности владельцев транспортных средств в соответствии с Федеральным законом от 25 апреля 2002 г. N 40-ФЗ "Об обязательном страховании гражданской ответственности владельцев транспортных средств"
</t>
  </si>
  <si>
    <t xml:space="preserve">Выплата гражданам пожилого возраста (достигшим возраста 60 и 55 лет (соответственно мужчины и женщины) либо возраста, дающего право на страховую пенсию по старости в соответствии с частью 1 статьи 8 Федерального закона от 28 декабря 2013 г. N 400-ФЗ "О страховых пенсиях") и одиноким гражданам, страдающим хроническими заболеваниями, неспособным удовлетворять свои основные жизненные потребности, получающим медико-социальную помощь на дому, в государственных медицинских организациях, в организациях социального обслуживания, у граждан, осуществляющих без образования юридического лица предпринимательскую деятельность в сфере социального обслуживания, в целях льготного обеспечения протезами, ортопедическими корригирующими изделиями, слуховыми аппаратами (за исключением мер социальной поддержки, предусмотренных подпунктом 1.1.5.3 настоящего пункта)
</t>
  </si>
  <si>
    <t xml:space="preserve">Предоставление лицу, взявшему на себя обязательства осуществить погребение, социального пособия на погребение в Краснодарском крае, единовременной материальной помощи гражданам, понесшим расходы, связанные с погребением малоимущих
</t>
  </si>
  <si>
    <t xml:space="preserve">Возмещение лицу, взявшему на себя обязательства осуществлять погребение, затрат, связанных с погребением умерших реабилитированных лиц
</t>
  </si>
  <si>
    <t xml:space="preserve">Предоставление единовременной денежной выплаты лицам, награжденным орденом "За выдающийся вклад в развитие кубанского казачества"
</t>
  </si>
  <si>
    <t xml:space="preserve">Предоставление ежегодной денежной выплаты лицам, награжденным нагрудными знаками "Почетный донор России", "Почетный донор СССР" в соответствии с Федеральным законом от 20 июля 2012 г. N 125-ФЗ "О донорстве крови и ее компонентов"
</t>
  </si>
  <si>
    <t xml:space="preserve">Предоставление ежемесячной денежной выплаты гражданам, удостоенным званий Героев Кубани и Героев труда Кубани, и единовременных денежных выплат в соответствии с частями 1 и 3 статьи 6 и статьей 7 Закона Краснодарского края от 5 мая 2006 г. N 1026-КЗ "О статусе Героев Кубани и Героев труда Кубани"
</t>
  </si>
  <si>
    <t xml:space="preserve">Предоставление субсидий юридическим лицам, индивидуальным предпринимателям (за исключением государственных (муниципальных) учреждений) в целях возмещения недополученных доходов в связи с оказанием услуг (выполнением работ) гражданам, проживающим на территории Краснодарского края, имеющим право на льготы, указанные в частях 1 - 3 статьи 4, части 2 статьи 6 Закона Краснодарского края от 5 мая 2006 г. N 1026-КЗ "О статусе Героев Кубани и Героев труда Кубани
</t>
  </si>
  <si>
    <t xml:space="preserve">Ежемесячная выплата Героям Советского Союза, Героям Российской Федерации, полным кавалерам ордена Славы, вдовам (вдовцам) Героев Советского Союза, Героев Российской Федерации и полных кавалеров ордена Славы в соответствии с Законом Краснодарского края от 30 апреля 2019 г. N 4015-КЗ "О ежемесячной выплате Героям Советского Союза, Героям Российской Федерации, полным кавалерам ордена Славы, вдовам (вдовцам) Героев Советского Союза, Героев Российской Федерации и полных кавалеров ордена Славы"
</t>
  </si>
  <si>
    <t xml:space="preserve">Предоставление дополнительной меры социальной поддержки по оплате проезда на автомобильном транспорте общего пользования в междугородном сообщении и поездах дальнего следования к месту реабилитации (туда и обратно) инвалидам по зрению и лицам, сопровождающим инвалидов по зрению 1 группы, при их сопровождении к месту реабилитации (туда и обратно) и от места реабилитации (туда и обратно)
</t>
  </si>
  <si>
    <t xml:space="preserve">Предоставление пособий на оплату проезда лицам, нуждающимся в проведении гемодиализа, в соответствии с Законом Краснодарского края от 6 февраля 2008 г. N 1388-КЗ "О выплате пособий на оплату проезда лицам, нуждающимся в проведении гемодиализа"
</t>
  </si>
  <si>
    <t xml:space="preserve">Предоставление субсидий юридическим лицам (за исключением субсидий государственным (муниципальным) учреждениям), индивидуальным предпринимателям в целях возмещения недополученных доходов в связи с оказанием услуг по перевозке на городском наземном электрическом транспорте, автомобильном транспорте общего пользования на муниципальных маршрутах регулярных перевозок в городском, пригородном, междугородном сообщениях, межмуниципальных маршрутах регулярных перевозок в пригородном сообщении, а также на смежных межрегиональных маршрутах регулярных перевозок в пригородном сообщении, начальные и конечные остановочные пункты которых расположены в границах Краснодарского края, железнодорожном транспорте пригородного сообщения отдельных категорий жителей Краснодарского края в соответствии с Законом Краснодарского края от 13 февраля 2006 г. N 987-КЗ "О дополнительных мерах социальной поддержки по оплате проезда отдельных категорий жителей Краснодарского края на 2006 - 2023 годы" (за исключением мер социальной поддержки, предусмотренных подпунктом 1.1.8.1 настоящего пункта)
</t>
  </si>
  <si>
    <t xml:space="preserve">Обеспечение изготовления талонов и проездных документов в целях реализации дополнительных мер социальной поддержки по оплате проезда отдельных категорий жителей Краснодарского края, установленных Законом Краснодарского края от 13 февраля 2006 г. N 987-КЗ "О дополнительных мерах социальной поддержки по оплате проезда отдельных категорий жителей Краснодарского края на 2006 - 2023 годы" (за исключением мер социальной поддержки, предусмотренных подпунктом 1.1.8.4 настоящего пункта)
</t>
  </si>
  <si>
    <t xml:space="preserve">Оказание государственной социальной помощи малоимущим семьям, малоимущим одиноко проживающим гражданам (за исключением мероприятий, предусмотренных подпунктом 1.1.9.1.2)
</t>
  </si>
  <si>
    <t xml:space="preserve">Оказание государственной социальной помощи на основании социального контракта малоимущим семьям, малоимущим одиноко проживающим гражданам
</t>
  </si>
  <si>
    <t xml:space="preserve">Предоставление мер социальной поддержки по обеспечению жильем отдельных категорий граждан, установленных Федеральным законом от 12 января 1995 г. N 5-ФЗ "О ветеранах" (пунктом 2 части 3 статьи 23(2)), в соответствии с Указом Президента Российской Федерации от 7 мая 2008 г. N 714 "Об обеспечении жильем ветеранов Великой Отечественной войны 1941 - 1945 годов"
</t>
  </si>
  <si>
    <t xml:space="preserve">Предоставление мер социальной поддержки по обеспечению жильем за счет средств федерального бюджета отдельных категорий граждан, установленных Федеральным законом от 12 января 1995 г. N 5-ФЗ "О ветеранах" (пунктом 3 части 3 статьи 23.2) (за исключением мер социальной поддержки, предусмотренных подпунктом 1.1.10.1 настоящего пункта)
</t>
  </si>
  <si>
    <t xml:space="preserve">Предоставление мер социальной поддержки по обеспечению жильем за счет средств федерального бюджета отдельных категорий граждан, установленных Федеральным законом от 24 ноября 1995 г. N 181-ФЗ "О социальной защите инвалидов в Российской Федерации" (статья 28.2) (за исключением мер социальной поддержки, предусмотренных подпунктом 1.1.10.1 настоящего пункта)
</t>
  </si>
  <si>
    <t xml:space="preserve">Предоставление дополнительной меры социальной поддержки по улучшению жилищных условий (ремонт, повышение уровня благоустройства жилых помещений) граждан, имеющих право на меры социальной поддержки в соответствии со статьями 14, 15, а также статьей 21 (в части предоставления мер социальной поддержки членам семьи погибших (умерших) инвалидов и участников Великой Отечественной войны) Федерального закона "О ветеранах"
</t>
  </si>
  <si>
    <t xml:space="preserve">Организация профессионального образования и дополнительного профессионального образования работников государственных учреждений Краснодарского края, в том числе:
</t>
  </si>
  <si>
    <t xml:space="preserve">на предоставление мер социальной поддержки работников организаций социального обслуживания в соответствии с пунктом 5 части 2 статьи 10 Закона Краснодарского края от 5 ноября 2014 г. N 3051-КЗ "О социальном обслуживании населения на территории Краснодарского края"
</t>
  </si>
  <si>
    <t xml:space="preserve">Предоставление субсидий на оснащение государственных бюджетных и автономных учреждений Краснодарского края оборудованием, облегчающим уход за гражданами пожилого возраста и инвалидами, повышающим качество социальных услуг, в том числе: мебелью, оборудованием для психологической поддержки, медицинским, компьютерным, технологическим, бытовым, пищевым, прачечным, реабилитационным оборудованием (приобретение, монтаж, пусконаладочные работы)
</t>
  </si>
  <si>
    <t xml:space="preserve">Предоставление субсидий на организацию работы мобильных бригад в государственных бюджетных и автономных учреждениях Краснодарского края, предоставляющих социальные услуги на мобильной основе, для оказания неотложных социальных услуг пожилым людям и (или) инвалидам, в том числе на приобретение транспортных средств и оборудования
</t>
  </si>
  <si>
    <t xml:space="preserve">Предоставление субсидий государственным бюджетным и автономным учреждениям на организацию для граждан пожилого возраста и (или) инвалидов обучения в компьютерных классах и клубах на базе государственных бюджетных и автономных учреждений Краснодарского края
</t>
  </si>
  <si>
    <t xml:space="preserve">Предоставление субсидий государственным бюджетным и автономным учреждениям на организацию социального туризма для граждан пожилого возраста и (или) инвалидов: проведение экскурсий, посещение памятных мест, учреждений культуры, исторических памятников
</t>
  </si>
  <si>
    <t xml:space="preserve">Предоставление субсидий государственным бюджетным и автономным учреждениям на организацию приемной семьи для граждан пожилого возраста и инвалидов
</t>
  </si>
  <si>
    <t xml:space="preserve">Предоставление субсидий государственным бюджетным и автономным учреждениям для обеспечения граждан современными средствами и предметами ухода за пожилыми людьми на условиях временного пользования через государственные бюджетные и автономные учреждения социального обслуживания Краснодарского края, подведомственные министерству труда и социального развития Краснодарского края
</t>
  </si>
  <si>
    <t xml:space="preserve">Выплата компенсаций в виде субсидий за предоставление социальных услуг (оказываемых гражданам старших возрастов, инвалидам, включая детей-инвалидов) поставщикам социальных услуг, включенным в реестр поставщиков социальных услуг и не участвующим в выполнении государственного задания (заказа)
</t>
  </si>
  <si>
    <t xml:space="preserve">Финансовое обеспечение деятельности государственных учреждений для детей-сирот и детей, оставшихся без попечения родителей, функции и полномочия учредителя в отношении которых осуществляет министерство труда и социального развития Краснодарского края, в том числе:
</t>
  </si>
  <si>
    <t xml:space="preserve">Финансовое обеспечение деятельности государственных учреждений для детей-сирот и детей, оставшихся без попечения родителей, и государственных учреждений, осуществляющих деятельность в сфере отдыха и оздоровления детей, функции и полномочия учредителя в отношении которых осуществляет министерство труда и социального развития Краснодарского края (за исключением финансового обеспечения деятельности государственных учреждений, предусмотренных подпунктом 1.1.1.1 настоящего пункта), в том числе:
</t>
  </si>
  <si>
    <t xml:space="preserve">на предоставление компенсации расходов педагогическим работникам государственных организаций, осуществляющих образовательную деятельность, проживающим и работающим в сельских населенных пунктах, рабочих поселках (поселках городского типа) на территории Краснодарского края, за счет краевого бюджета на оплату жилых помещений, отопления и освещения в соответствии с Законом Краснодарского края от 16 июля 2013 г. N 2770-КЗ "Об образовании в Краснодарском крае"
</t>
  </si>
  <si>
    <t xml:space="preserve">Выплата пособия на ребенка в соответствии с Законом Краснодарского края от 15 декабря 2004 г. N 807-КЗ "О пособии на ребенка"
</t>
  </si>
  <si>
    <t xml:space="preserve">Предоставление денежной компенсации на полноценное питание беременным женщинам, кормящим матерям, а также детям в возрасте до трех лет, за исключением детей первых шести месяцев жизни, родившихся не ранее 1 августа 2014 г. и находящихся на смешанном или искусственном вскармливании, из семей со среднедушевым доходом, размер которого не превышает величины прожиточного минимума на душу населения, установленного в Краснодарском крае в соответствии с Законом Краснодарского края от 30 июня 1997 г. N 90-КЗ "Об охране здоровья населения Краснодарского края"
</t>
  </si>
  <si>
    <t xml:space="preserve">Выплата единовременного пособия беременной жене военнослужащего, проходящего военную службу по призыву, и ежемесячного пособия на ребенка военнослужащего, проходящего военную службу по призыву, в соответствии с Федеральным законом от 19 мая 1995 г. N 81-ФЗ "О государственных пособиях гражданам, имеющим детей"
</t>
  </si>
  <si>
    <t xml:space="preserve">Выплата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г. N 81-ФЗ "О государственных пособиях гражданам, имеющим детей"
</t>
  </si>
  <si>
    <t xml:space="preserve">Ежемесячная денежная выплата одному из родителей, являющемуся гражданином Российской Федерации, на третьего ребенка или последующих детей, родившихся в период с 1 января 2013 г. по 31 декабря 2018 г., до достижения ими возраста трех лет в соответствии с Законом Краснодарского края от 1 августа 2012 г. N 2568-КЗ "О дополнительных мерах социальной поддержки отдельных категорий граждан" и ежемесячная денежная выплата одному из родителей, являющемуся гражданином Российской Федерации, на третьего ребенка или последующих детей, родившихся в период с 1 января 2019 г. по 31 декабря 2021 г., до достижения ими возраста трех лет в соответствии с Законом Краснодарского края от 21 декабря 2018 г. N 3950-КЗ "О ежемесячной денежной выплате нуждающимся в поддержке семьям при рождении третьего ребенка или последующих детей" в рамках регионального проекта Краснодарского края "Финансовая поддержка семей при рождении детей"
</t>
  </si>
  <si>
    <t xml:space="preserve">Осуществление ежемесячной выплаты в связи с рождением (усыновлением) первого ребенка в соответствии с Федеральным законом от 28 декабря 2017 г. N 418-ФЗ "О ежемесячных выплатах семьям, имеющим детей" в рамках регионального проекта Краснодарского края "Финансовая поддержка семей при рождении детей"
</t>
  </si>
  <si>
    <t xml:space="preserve">Ежемесячная денежная выплата на ребенка в возрасте от трех до семи лет включительно
</t>
  </si>
  <si>
    <t xml:space="preserve">Выплата единовременного денежного поощрения награжденным медалью Краснодарского края "Родительская доблесть"
</t>
  </si>
  <si>
    <t xml:space="preserve">Выплата единовременного денежного пособия при усыновлении (удочерении) на территории Краснодарского края ребенка-сироты или ребенка, оставшегося без попечения родителей
</t>
  </si>
  <si>
    <t xml:space="preserve">Ежегодная денежная выплата многодетным семьям
</t>
  </si>
  <si>
    <t xml:space="preserve">Предоставление меры социальной поддержки в виде материнского (семейного) капитала в рамках регионального проекта Краснодарского края "Финансовая поддержка семей при рождении детей"
</t>
  </si>
  <si>
    <t xml:space="preserve">Изготовление бланков удостоверения многодетной семьи
</t>
  </si>
  <si>
    <t xml:space="preserve">Предоставление субвенций местным бюджетам муниципальных образований Краснодарского края на осуществление отдельных государственных полномочий по выплате ежемесячных денежных средств на содержание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приемную семью, в соответствии с Законом Краснодарского края от 15 декабря 2004 г. N 805-КЗ "О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сферы"
</t>
  </si>
  <si>
    <t xml:space="preserve">Предоставление субвенций местным бюджетам муниципальных образований Краснодарского края на осуществление отдельных государственных полномочий по выплате ежемесячного вознаграждения, причитающегося приемным родителям за оказание услуг по воспитанию приемных детей, в соответствии с Законом Краснодарского края от 15 декабря 2004 г. N 805-КЗ "О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сферы"
</t>
  </si>
  <si>
    <t xml:space="preserve">Предоставление субвенций местным бюджетам муниципальных образований Краснодарского края в соответствии с Законом Краснодарского края от 15 декабря 2004 г. N 805-КЗ "О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сферы" на осуществление отдельных государственных полномочий по выплате ежемесячных денежных средств на содержание детей, нуждающихся в особой заботе государства, переданных на патронатное воспитание
</t>
  </si>
  <si>
    <t xml:space="preserve">Предоставление субвенций местным бюджетам муниципальных образований Краснодарского края в соответствии с Законом Краснодарского края от 15 декабря 2004 г. N 805-КЗ "О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сферы" на осуществление отдельных государственных полномочий по выплате ежемесячного вознаграждения, причитающегося патронатным воспитателям за оказание услуг по осуществлению патронатного воспитания и постинтернатного сопровождения
 </t>
  </si>
  <si>
    <t xml:space="preserve">Предоставление субвенций местным бюджетам муниципальных образований Краснодарского края в соответствии с Законом Краснодарского края от 29 декабря 2007 г. N 1372-КЗ "О наделении органов местного самоуправления в Краснодарском крае государственными полномочиями Краснодарского края по организации и осуществлению деятельности по опеке и попечительству в отношении несовершеннолетних" для финансового обеспечения осуществления отдельных государственных полномочий по организации и осуществлению деятельности по опеке и попечительству в отношении несовершеннолетних, за исключением полномочий по формированию и ведению регионального банка данных о детях, оставшихся без попечения родителей, полномочий по психолого-педагогической и правовой подготовке граждан, выразивших желание принять на воспитание в свою семью ребенка, оставшегося без попечения родителей
</t>
  </si>
  <si>
    <t xml:space="preserve">Предоставление субвенций местным бюджетам муниципальных образований Краснодарского края для финансового обеспечения осуществления отдельных государственных полномочий по организации оздоровления и отдыха детей, переданных в соответствии с Законом Краснодарского края от 3 марта 2010 г. N 1909-КЗ "О наделении органов местного самоуправления в Краснодарском крае государственными полномочиями Краснодарского края по организации оздоровления и отдыха детей"
</t>
  </si>
  <si>
    <t xml:space="preserve">Предоставление субвенций местным бюджетам муниципальных образований Краснодарского края на осуществление отдельных государственных полномочий по созданию и организации деятельности комиссий по делам несовершеннолетних и защите их прав в соответствии с Законом Краснодарского края от 13 ноября 2006 г. N 1132-КЗ "О комиссиях по делам несовершеннолетних и защите их прав в Краснодарском крае"
</t>
  </si>
  <si>
    <t xml:space="preserve">Осуществление деятельности, связанной с перевозкой между субъектами Российской Федерации, а также в пределах территорий государств - участников Содружества Независимых Государств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организаций, в соответствии с пунктом 3 статьи 25 Федерального закона от 24 июня 1999 г. N 120-ФЗ "Об основах системы профилактики безнадзорности и правонарушений несовершеннолетних"
</t>
  </si>
  <si>
    <t xml:space="preserve">Выплата компенсаций в виде субсидий за предоставление социальных услуг (оказываемых детям с ограниченными возможностями здоровья, а также детям, находящимся в социально опасном положении, в трудной жизненной ситуации) поставщикам социальных услуг, включенным в реестр поставщиков социальных услуг и не участвующим в выполнении государственного задания (заказа) (за исключением выплаты компенсаций в виде субсидий, предусмотренных подпунктом 1.1.6.1 настоящего пункта)
</t>
  </si>
  <si>
    <t xml:space="preserve">Предоставление субсидии государственным бюджетным учреждениям Краснодарского края, функции и полномочия учредителя в отношении которых осуществляет министерство труда и социального развития Краснодарского края, на осуществление капитальных вложений в объекты капитального строительства государственной собственности Краснодарского края
</t>
  </si>
  <si>
    <t xml:space="preserve">Бюджетные инвестиции капитального строительства государственной собственности Краснодарского края в целях реализации инвестиционных проектов социальной инфраструктуры
</t>
  </si>
  <si>
    <t xml:space="preserve">Начальник отдела координации национальных                                                                 проектов и государственных программ                                                     </t>
  </si>
  <si>
    <t xml:space="preserve">Краснодарском крае государственными полномочиями Краснодарского края по организации оздоровления и отдыха детей"
</t>
  </si>
  <si>
    <t xml:space="preserve">Предоставление субвенций местным бюджетам муниципальных образований Краснодарского края для финансового обеспечения осуществления отдельных государственных полномочий по организации оздоровления и отдыха детей, переданных в соответствии с Законом Краснодарского края от 3 марта 2010 г. N 1909-КЗ "О наделении органов местного самоуправления в </t>
  </si>
  <si>
    <t xml:space="preserve">по воспитанию приемных детей, в соответствии с Законом Краснодарского края от 15 декабря 2004 г. N 805-КЗ "О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сферы"
</t>
  </si>
  <si>
    <t xml:space="preserve">Предоставление субвенций местным бюджетам муниципальных образований Краснодарского края на осуществление отдельных государственных полномочий по выплате ежемесячного вознаграждения, причитающегося приемным родителям за оказание услуг </t>
  </si>
  <si>
    <t>Предоставление меры социальной поддержки в виде материнского (семейного) капитала в рамках регионального проекта Краснодарского края "Финансовая поддержка семей при рождении детей"
"</t>
  </si>
  <si>
    <t>Предоставление денежной компенсации на полноценное питание беременным женщинам, кормящим матерям, а также детям в возрасте до трех лет, за исключением детей первых шести месяцев жизни, родившихся не ранее 1 августа 2014 г. и находящихся на смешанном или искусственном вскармливании, из семей со среднедушевым доходом, размер которого не превышает величины прожиточного минимума на душу населения, установленного в Краснодарском крае в соответствии с Законом Краснодарского края от 30 июня 1997 г. N 90-КЗ "Об охране здоровья населения Краснодарского края"</t>
  </si>
  <si>
    <t>заключению врача полноценным питанием посредством бесплатного предоставления специализированных продуктов детского питания  в соответствии с Законом Краснодарского края от 30 июня 1997 г. № 90-КЗ "Об охране здоровья населения Краснодарского края"</t>
  </si>
  <si>
    <t xml:space="preserve">Предоставление субсидий государственным автономным учреждениям на обеспечение детей первых шести месяцев жизни, родившихся не ранее 1 августа 2014 г. и находящихся на смешанном или искусственном вскармливании, из семей со среднедушевым доходом, размер которого не  превышает величины прожиточного минимума на душу населения, установленного в Краснодарском крае, по  </t>
  </si>
  <si>
    <t xml:space="preserve">Предоставление дополнительной меры социальной поддержки по улучшению жилищных условий (ремонт, повышение уровня благоустройства жилых помещений) граждан, имеющих право на меры социальной поддержки в соответствии со статьями 14, 15, а также статьей 21 (в части предоставления мер социальной поддержки членам семьи погибших (умерших) инвалидов и участников Великой Отечественной войны) Федерального закона "О ветеранах"
</t>
  </si>
  <si>
    <t xml:space="preserve">Предоставление мер социальной поддержки по обеспечению жильем за счет средств федерального бюджета отдельных категорий граждан, установленных Федеральным законом от 24 ноября 1995 г. N 181-ФЗ "О социальной защите инвалидов в Российской Федерации" (статья 28.2) (за исключением мер социальной поддержки, предусмотренных подпунктом 1.1.10.1 настоящего пункта)
</t>
  </si>
  <si>
    <t xml:space="preserve">Предоставление мер социальной поддержки по обеспечению жильем за счет средств федерального бюджета отдельных категорий граждан, установленных Федеральным законом от 12 января 1995 г. N 5-ФЗ "О ветеранах" (пунктом 3 части 3 статьи 23.2) (за исключением мер социальной поддержки, предусмотренных подпунктом 1.1.10.1 настоящего пункта)
</t>
  </si>
  <si>
    <t>Обеспечение изготовления талонов и проездных документов в целях реализации дополнительных мер социальной поддержки по оплате проезда отдельных категорий жителей Краснодарского края, установленных Законом Краснодарского края от 13 февраля 2006 г. N 987-КЗ "О дополнительных мерах социальной поддержки по оплате проезда отдельных категорий жителей Краснодарского края на 2006 - 2023 годы" (за исключением мер социальной поддержки, предусмотренных подпунктом 1.1.8.4 настоящего пункта)</t>
  </si>
  <si>
    <t>медицинских организациях, в организациях социального обслуживания, у граждан, осуществляющих без образования юридического лица предпринимательскую деятельность в сфере социального обслуживания, в целях льготного обеспечения протезами, ортопедическими корригирующими изделиями, слуховыми аппаратами (за исключением мер социальной поддержки, предусмотренных подпунктом 1.1.5.3 настоящего пункта)</t>
  </si>
  <si>
    <t>Выплата гражданам пожилого возраста (достигшим возраста 60 и 55 лет (соответственно мужчины и женщины) либо возраста, дающего право на страховую пенсию по старости в соответствии с частью 1 статьи 8 Федерального закона от 28 декабря 2013 г. N 400-ФЗ "О страховых пенсиях") и одиноким гражданам, страдающим хроническими заболеваниями, неспособным удовлетворять свои основные жизненные потребности, получающим медико-социальную помощь на дому, в государственных медицинских организациях, в организациях социального обслуживания, у граждан, осуществляющих без образования юридического лица предпринимательскую деятельность в сфере социального обслуживания, в целях льготного обеспечения протезами, ортопедическими корригирующими изделиями, слуховыми аппаратами (за исключением мер социальной поддержки, предусмотренных подпунктом 1.1.5.3 настоящего пункта)</t>
  </si>
  <si>
    <t xml:space="preserve">Выплаты компенсации гражданам в случае, если Выплата компенсации гражданам в случае, если фактическое увеличение размера платы за коммунальные услуги, вносимой гражданином, потребляющим коммунальные услуги при использовании жилого помещения и (или) жилого дома, превышает размер установленного для соответствующего муниципального образования Краснодарского края предельного (максимального) индекса изменения размера вносимой гражданами платы за коммунальные услуги
</t>
  </si>
  <si>
    <t>Предоставление мер социальной поддержки по оплате жилищно-коммунальных услуг отдельным категориям граждан в соответствии с Федеральным законом от 24 ноября 1995 г. N 181-ФЗ "О социальной защите инвалидов в Российской Федерации"; Законами Российской Федерации от 12 января 1995 г. N 5-ФЗ "О ветеранах"; от 15 мая 1991 г. N 1244-1 "О социальной защите граждан, подвергшихся воздействию радиации вследствие катастрофы на Чернобыльской АЭС"</t>
  </si>
  <si>
    <t xml:space="preserve">Ежемесячные денежные выплаты ветеранам труда и ветеранам военной службы, достигшим возраста 60 и 55 лет (соответственно мужчины и женщины), либо после назначения им пенсии в территориальных органах Пенсионного фонда Российской Федерации, жертвам политических репрессий, достигшим возраста 60 и 55 лет (соответственно мужчины и женщины), либо являющимся пенсионерами, труженикам тыла, - жителям Краснодарского края (за исключением мер социальной поддержки, предусмотренных подпунктом 1.1.2.1 настоящего пункта)
</t>
  </si>
  <si>
    <t>Предоставление отдельных мер социальной поддержки граждан, подвергшихся воздействию радиации (за исключением мер социальной поддержки, предусмотренных подпунктами 1.1.2.2 и 1.1.3.3 настоящего раздела))</t>
  </si>
  <si>
    <t>Пособия отдельным категориям работников Краснодарского края в соответствии с Законом Краснодарского края от 21 июля 2005 г. N 921-КЗ "О государственной поддержке отдельных категорий работников Краснодарского края"</t>
  </si>
  <si>
    <t>Финансовое обеспечение деятельности министерства труда и социального развития Краснодарского края и управлений социальной защиты населения в муниципальных образованиях Краснодарского края</t>
  </si>
  <si>
    <t>1441</t>
  </si>
  <si>
    <t>Освоение за 3 месяца</t>
  </si>
  <si>
    <t>Освоение за 6 месяцев</t>
  </si>
  <si>
    <t>1.1.6.3</t>
  </si>
  <si>
    <t>1.1.6.4</t>
  </si>
  <si>
    <t xml:space="preserve">Предоставление социального пособия на погребение в Краснодарском крае лицу, взявшему на себя обязательства осуществить погребение (за исключением мер социальной поддержки, предусмотренных подпунктом 1.1.6.1 настоящего пункта)
</t>
  </si>
  <si>
    <t xml:space="preserve">Предоставление единовременной материальной помощи гражданам, понесшим расходы, связанные с погребением малоимущих (за исключением мер социальной поддержки, предусмотренных подпунктом 1.1.6.1 настоящего пункта)
</t>
  </si>
  <si>
    <t>Предоставление социального пособия на погребение в Краснодарском крае лицу, взявшему на себя обязательства осуществить погребение (за исключением мер социальной поддержки, предусмотренных подпунктом 1.1.6.1 настоящего пункта)</t>
  </si>
  <si>
    <t>Предоставление единовременной материальной помощи гражданам, понесшим расходы, связанные с погребением малоимущих (за исключением мер социальной поддержки, предусмотренных подпунктом 1.1.6.1 настоящего пункта)</t>
  </si>
  <si>
    <t xml:space="preserve">01.07.2021
</t>
  </si>
  <si>
    <t xml:space="preserve">11.01.2021
</t>
  </si>
  <si>
    <t xml:space="preserve">начальник 
отдела финансового обеспечения подведомственных учреждений
Зенкин Р.С.
</t>
  </si>
  <si>
    <t xml:space="preserve">начальник отдела финансового обеспечения мер социальной поддержки         Воякин Г.В., начальник отдела адресного предоставления льгот и субсидий Ролик Н.И.
</t>
  </si>
  <si>
    <t>01.10.201</t>
  </si>
  <si>
    <t xml:space="preserve">начальник отдела финансового обеспечения мер социальной поддержки Воякин Г.В.,
начальник отдела льгот и субсидий Брискман Д.В.
</t>
  </si>
  <si>
    <t xml:space="preserve">начальник отдела финансового обеспечения мер социальной поддержки Воякин Г.В.,
начальник отдела льгот и субсидий Брискман Д.В.
</t>
  </si>
  <si>
    <t xml:space="preserve">нначальник
отдела финансового обеспечения мер социальной поддержки Воякин Г.В., ,начальник отдела по делам 
ветеранов Чернышева Е.В. 
</t>
  </si>
  <si>
    <t xml:space="preserve">начальник отдела финансового обеспечения подведомственных учреждений Зенкин Р.С.,
начальник отдела организации деятельности домов-интернатов                                      Талькова Т.Н., начальник отдела организации деятельности учреждений для несовершеннолетних                                        Исаева И.Г., начальник отдела организации реабилитации инвалидов Шульга И.А.
</t>
  </si>
  <si>
    <t xml:space="preserve">начальник 
отдела финансового обеспечения подведомственных учреждений Зенкин Р.С.,
начальник отдела организации деятельности домов-интернатов 
Талькова Т.Н. 
</t>
  </si>
  <si>
    <t xml:space="preserve">начальник отдела финансового обеспечения подведомственных учреждений Зенкин Р.С.,
начальник  отдела организации деятельности учреждений социального 
обслуживания  Дегтярь Л.В.
</t>
  </si>
  <si>
    <t xml:space="preserve">начальник отдела финансового обеспечения подведомственных учреждений Зенкин Р.С.,
начальник отдела по вопросам капитального ремонта и строительства 
Ярошенко Н.Н.
</t>
  </si>
  <si>
    <t xml:space="preserve">начальник отдела финансового обеспечения подведомственных учреждений Зенкин Р.С.
</t>
  </si>
  <si>
    <t xml:space="preserve">начальник отдела финансового обеспечения подведомственных учреждений
Зенкин Р.С., начальник 
отдела организации и реабилитации инвалидов
Шульга И.А., начальник
отдела организации деятельности учреждений для несовершеннолетних 
Исаева И.Г., начальник отдела по вопросам капитального ремонта и строительства             Ярошенко Н.Н.
</t>
  </si>
  <si>
    <t xml:space="preserve">начальник отдела финансового обеспечения подведомственных учреждений
Зенкин Р.С., начальник
отдела организации оздоровления и отдыха детей в управлении оздоровления и отдыха детей Рохлин П.Н.,
начальник отдела организации деятельности учреждений для несовершеннолетних
Исаева И.Г., начальник отдела по вопросам капитального ремонта и строительства             Ярошенко Н.Н.
</t>
  </si>
  <si>
    <t xml:space="preserve">начальник
отдела финансового обеспечения мер социальной поддержки Воякин Г.В.,
начальник отдела организации реабилитации инвалидов Шульга И.А.
</t>
  </si>
  <si>
    <t>начальник отдела развития
семейных форм устройства
детей-сирот идетей, оставшихся без попечения
родителей Босенко Ю.Л.</t>
  </si>
  <si>
    <t>расчитывается по итогам года</t>
  </si>
  <si>
    <t>возмещения недополученных доходов в связи с оказанием услуг по перевозке на городском наземном электрическом транспорте, автомобильном транспорте общего пользования на муниципальных маршрутах регулярных перевозок в городском, пригородном, междугородном сообщениях, межмуниципальных маршрутах регулярных перевозок в пригородном сообщении, а также на смежных межрегиональных маршрутах регулярных перевозок в пригородном сообщении, начальные и конечные остановочные пункты которых расположены в границах Краснодарского края, железнодорожном транспорте пригородного сообщения отдельных категорий жителей Краснодарского края в соответствии с Законом Краснодарского края от 13 февраля 2006 г. N 987-КЗ "О дополнительных мерах социальной поддержки по оплате проезда отдельных категорий жителей Краснодарского края на 2006 - 2023 годы" (за исключением мер социальной поддержки, предусмотренных подпунктом 1.1.8.1 настоящего пункта)
по перевозке на городском наземном электрическом транспорте, автомобильном транспорте общего пользования на муниципальных маршру-тах регулярных перево-зок в городском,</t>
  </si>
  <si>
    <t xml:space="preserve">Предоставление субсидий юридическим лицам (за исключением субсидий государственным (муниципальным) учреждениям), индивидуальным предпринимателям в це-лях возмещения недопо-лученных доходов в связи с оказанием услуг Предоставление субсидий юридическим лицам (за исключением субсидий государственным (муниципальным) учреждениям), индивидуальным предпринимателям в целях </t>
  </si>
  <si>
    <t>за 9 месяцев 2021 года</t>
  </si>
  <si>
    <t>Чернышева</t>
  </si>
  <si>
    <t>Голыба</t>
  </si>
  <si>
    <t>40</t>
  </si>
  <si>
    <t>Заключен госконтракт от 28.09.2021 на сумму 266.3 тыс.рублей. Поставка и оплата удостоверений запланирована до 30.10.2021 г.</t>
  </si>
  <si>
    <t xml:space="preserve">   за 9 месяцев 2021 года</t>
  </si>
  <si>
    <t>получателей</t>
  </si>
  <si>
    <t xml:space="preserve">единиц </t>
  </si>
  <si>
    <t xml:space="preserve">количество разрабатываемых комплектов проектной документации и результатов инженерных изысканий - 1 ед.
</t>
  </si>
  <si>
    <t>Контракт на разработку ПСД планируется заключить до 1 ноября 2021. Освоение средств в 2021 году планируется путем авансовых платежей на техническое присоединение.</t>
  </si>
  <si>
    <t>17</t>
  </si>
  <si>
    <t xml:space="preserve">  за 9 месяцев 2021 года</t>
  </si>
  <si>
    <t>Апшеронским ДОЛ заключен контракт на выполнение работ по благоустройству территории на сумму 4482,0 тыс. рублей. Выполнение работ запланировано 4 кв. 2021 г.</t>
  </si>
  <si>
    <t xml:space="preserve">начальник отдела финансового обеспечения мер социальной поддержки Воякин Г.В., начальник
отдела государственных гарантий и компенсаций Пономаренко Н.Ю.
</t>
  </si>
  <si>
    <t xml:space="preserve">начальник отдела финансового обеспечения мер социальной поддержки Воякин Г.В.,
начальник управления оздоровления и отдыха детей
Степаненко А.В.
</t>
  </si>
  <si>
    <t>начальникотдела финансового обеспечения мер социальной поддержки Воякин Г.В.,
начальник управления оздоровления и отдыха детей
Степаненко А.В.</t>
  </si>
  <si>
    <t xml:space="preserve">начальник отдела финансового обеспечения подведомственных учреждений Зенкин Р.С.,
начальник отдела по вопросам капитального ремонта и строительства  Ярошенко Н.Н.,
начальник  отдела организации деятельности учреждений социального 
обслуживания Дегтярь Л.В., начальник отдела организации деятельности домов-интернатов 
Талькова Т.Н., начальник 
отдела организации и реабилитации инвалидов
Шульга И.А. 
</t>
  </si>
  <si>
    <t xml:space="preserve">начальник отдела финансового обеспечения подведомственных учреждений
Зенкин Р.С., начальник
отдела государственных гарантий и компенсаций Пономаренко Н.Ю.
</t>
  </si>
  <si>
    <t xml:space="preserve">Выплата единовременного пособия беременной жене военнослужащего, проходящего военную службу по призыву, и ежемесячного пособия на ребенка военнослужащего, проходящего военную службу по призыву, в соответствии с Федеральным законом от 19 мая 1995 г. № 81-ФЗ "О государственных пособиях гражданам, имеющим детей"
</t>
  </si>
  <si>
    <t>начальник отдела финансового обеспечения мер социальной поддержки Воякин Г.В.,
начальник управления оздоровления и отдыха детей
Степаненко А.В.</t>
  </si>
  <si>
    <t xml:space="preserve">начальник управления оздоровления и отдыха детей
Степаненко А.В.
</t>
  </si>
  <si>
    <t>,</t>
  </si>
  <si>
    <t>171</t>
  </si>
  <si>
    <t>дегтярь</t>
  </si>
  <si>
    <t>ярошенко</t>
  </si>
  <si>
    <t>Лимит</t>
  </si>
  <si>
    <t>Касса</t>
  </si>
  <si>
    <t>Поменялась СБР</t>
  </si>
  <si>
    <t xml:space="preserve">выполнение мероприятия предусмотрено в 1-4 кв.                  2021 г.  </t>
  </si>
  <si>
    <t xml:space="preserve">выполнение мероприятия предусмотрено в 1-4 кв.                  2021 г </t>
  </si>
  <si>
    <t xml:space="preserve">начальник отдела финансового обеспечения мер социальной поддержки Воякин Г.В., начальник отдела адресного предоставления льгот и субсидий Ролик Н.И.
</t>
  </si>
  <si>
    <t xml:space="preserve">начальник отдела финансового обеспечения мер социальной поддержки Воякин Г.В., начальник
отдела по делам ветеранов Чернышева Е.В., начальник 
отдела органи-зации назначения и  выплаты государственных гарантий и компенсаций  Пономаренко Н.Ю., начальник  отдела организации адресного предоставления льгот и субсидий Ролик Н.И.
</t>
  </si>
  <si>
    <t xml:space="preserve">начальник отдела финансового обеспечения мер социальной поддержки Воякин Г.В.,
начальник отдела развития
семейных форм устройства
детей-сирот идетей, оставшихся без попечения
родителей Босенко Ю.Л.
</t>
  </si>
  <si>
    <t xml:space="preserve">начальник отдела финансового обеспечения мер социальной поддержки Воякин Г.В.
</t>
  </si>
  <si>
    <t>начальник отдела финансового обеспечения мер социальной поддержки Воякин Г.В.,
начальник отдела развития
семейных форм устройства
детей-сирот идетей, оставшихся без попечения
родителей Босенко Ю.Л.</t>
  </si>
  <si>
    <t xml:space="preserve">начальник отдела финансового обеспечения мер социальной поддержки Воякин Г.В.,
начальник отдела организации деятельности учреждений для несовершеннолетних
Исаева И.Г.
</t>
  </si>
  <si>
    <t xml:space="preserve">начальник отдела финансового обеспечения мер социальной поддержки Воякин Г.В.,
начальник отдела управления оздоровления и отдыха детей
Степаненко А.В.,
начальник отдела развития семейных форм устройства
детей-сирот и детей, оставшихся без попечения
родителей Босенко Ю.Л.,
начальник отдела организации назначения и выплаты государственных гарантий и компенсаций
Пономаренко Н.Ю.,
начальник отдела организации оздоровления и отдыха детей в управлении оздоровления и отдыха детей
Рохлин П.Н.
</t>
  </si>
  <si>
    <t xml:space="preserve">начальник отдела финансового обеспечения мер социальной поддержки  Воякин Г.В.,
начальник отдела обеспечения деятельности комиссии по делам несовершеннолетних и защите их прав 
Панченко Р.А.
</t>
  </si>
  <si>
    <t xml:space="preserve">начальник планово-финансового отдела 
Зенкин Р.С.,
начальник отдела по вопросам 
капитального ремонта и строительства Ярошенко Н.Н.
</t>
  </si>
  <si>
    <t xml:space="preserve">начальник отдела финансового обеспечения подведомственных учреждений Зенкин Р.С.,
начальник  отдела организации деятельности учреждений социального обслуживания  Дегтярь Л.В.
</t>
  </si>
  <si>
    <t>выполнение мероприятия предусмотрено в 4 кв. 2021 г.</t>
  </si>
  <si>
    <t>Выполнение мероприятия запланировано в 4 квартале                                         2021 г.</t>
  </si>
  <si>
    <t>планируется перераспределение бюджетных ассигнований на          2022 г.</t>
  </si>
  <si>
    <t>выполнение мероприятия запланировано в 4 квартале                                         2021 г.</t>
  </si>
  <si>
    <t>выполнение непосредственного результата запланирован в 4 квартале 2021 г.</t>
  </si>
  <si>
    <t xml:space="preserve">предусмотрено перераспределение бюджетных ассигнований </t>
  </si>
  <si>
    <t xml:space="preserve">Фактическое значение за 9 мес. 2020
</t>
  </si>
  <si>
    <t>Доля граждан старше трудоспособного возраста и инвалидов, получивших социальные услуги в организациях социального обслуживания, от общего числа граждан старше трудоспособного возраста и инвалидов</t>
  </si>
  <si>
    <t xml:space="preserve">1-я оценка (предварительная) - 15 марта (по состоянию на 1 января);
2-я оценка (уточненная) - 29 апреля (по состоянию на 1 января);
3-я оценка - 29 декабря (по состоянию на 1 января)
</t>
  </si>
  <si>
    <t>2.1.6</t>
  </si>
  <si>
    <t xml:space="preserve">ежегодно, 1-я оценка (предварительная) - 15 марта (по состоянию на 1 января);
2-я оценка (окончательная) - 15 августа (по состоянию на 1 января)
</t>
  </si>
  <si>
    <t>* Плановое итоговое значение по плану реализации не соответствует итоговому значению, предусмотренному уточненной сводной бюджетной росписью, в связи с тем, что федеральные средства были сняты уведомлением после утверждения плана реализации государственной программы.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</si>
</sst>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0"/>
  </numFmts>
  <fonts count="55" x14ac:knownFonts="1">
    <font>
      <sz val="11"/>
      <color theme="1"/>
      <name val="Calibri"/>
      <family val="2"/>
      <scheme val="minor"/>
    </font>
    <font>
      <sz val="48"/>
      <name val="Times New Roman"/>
      <family val="1"/>
      <charset val="204"/>
    </font>
    <font>
      <sz val="22"/>
      <name val="Calibri"/>
      <family val="2"/>
      <charset val="204"/>
      <scheme val="minor"/>
    </font>
    <font>
      <sz val="30"/>
      <name val="Calibri"/>
      <family val="2"/>
      <charset val="204"/>
      <scheme val="minor"/>
    </font>
    <font>
      <sz val="28"/>
      <name val="Times New Roman"/>
      <family val="1"/>
      <charset val="204"/>
    </font>
    <font>
      <b/>
      <sz val="28"/>
      <name val="Times New Roman"/>
      <family val="1"/>
      <charset val="204"/>
    </font>
    <font>
      <sz val="28"/>
      <name val="Calibri"/>
      <family val="2"/>
      <charset val="204"/>
      <scheme val="minor"/>
    </font>
    <font>
      <i/>
      <sz val="28"/>
      <name val="Times New Roman"/>
      <family val="1"/>
      <charset val="204"/>
    </font>
    <font>
      <i/>
      <vertAlign val="superscript"/>
      <sz val="28"/>
      <name val="Times New Roman"/>
      <family val="1"/>
      <charset val="204"/>
    </font>
    <font>
      <b/>
      <sz val="36"/>
      <name val="Times New Roman"/>
      <family val="1"/>
      <charset val="204"/>
    </font>
    <font>
      <sz val="36"/>
      <name val="Times New Roman"/>
      <family val="1"/>
      <charset val="204"/>
    </font>
    <font>
      <sz val="22"/>
      <name val="Times New Roman"/>
      <family val="1"/>
      <charset val="204"/>
    </font>
    <font>
      <sz val="2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0"/>
      <color indexed="12"/>
      <name val="Arial Cyr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8"/>
      <name val="Times New Roman"/>
      <family val="1"/>
      <charset val="204"/>
    </font>
    <font>
      <sz val="11"/>
      <name val="Calibri"/>
      <family val="2"/>
      <scheme val="minor"/>
    </font>
    <font>
      <sz val="16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u/>
      <sz val="36"/>
      <name val="Times New Roman"/>
      <family val="1"/>
      <charset val="204"/>
    </font>
    <font>
      <sz val="36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28"/>
      <color rgb="FFFF0000"/>
      <name val="Times New Roman"/>
      <family val="1"/>
      <charset val="204"/>
    </font>
    <font>
      <b/>
      <sz val="28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6"/>
      <color rgb="FFFF3333"/>
      <name val="Times New Roman"/>
      <family val="1"/>
      <charset val="204"/>
    </font>
    <font>
      <sz val="14"/>
      <color rgb="FFFF3333"/>
      <name val="Times New Roman"/>
      <family val="1"/>
      <charset val="204"/>
    </font>
    <font>
      <sz val="12"/>
      <color rgb="FFFF3333"/>
      <name val="Arial Cyr"/>
      <charset val="204"/>
    </font>
    <font>
      <sz val="11"/>
      <color rgb="FFFF3333"/>
      <name val="Calibri"/>
      <family val="2"/>
      <scheme val="minor"/>
    </font>
    <font>
      <b/>
      <sz val="14"/>
      <color rgb="FFC00000"/>
      <name val="Times New Roman"/>
      <family val="1"/>
      <charset val="204"/>
    </font>
    <font>
      <sz val="12"/>
      <color rgb="FFFF0000"/>
      <name val="Arial Cyr"/>
      <charset val="204"/>
    </font>
    <font>
      <sz val="11"/>
      <color rgb="FFFF0000"/>
      <name val="Calibri"/>
      <family val="2"/>
      <scheme val="minor"/>
    </font>
    <font>
      <sz val="24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1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30" fillId="0" borderId="0"/>
  </cellStyleXfs>
  <cellXfs count="454">
    <xf numFmtId="0" fontId="0" fillId="0" borderId="0" xfId="0"/>
    <xf numFmtId="0" fontId="4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left" vertical="top"/>
    </xf>
    <xf numFmtId="164" fontId="4" fillId="2" borderId="0" xfId="0" applyNumberFormat="1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left" vertical="top"/>
    </xf>
    <xf numFmtId="164" fontId="4" fillId="2" borderId="2" xfId="0" applyNumberFormat="1" applyFont="1" applyFill="1" applyBorder="1" applyAlignment="1">
      <alignment horizontal="center" vertical="top" textRotation="90" wrapText="1"/>
    </xf>
    <xf numFmtId="164" fontId="7" fillId="2" borderId="2" xfId="0" applyNumberFormat="1" applyFont="1" applyFill="1" applyBorder="1" applyAlignment="1">
      <alignment horizontal="center" vertical="top" textRotation="90" wrapText="1"/>
    </xf>
    <xf numFmtId="165" fontId="4" fillId="2" borderId="2" xfId="0" applyNumberFormat="1" applyFont="1" applyFill="1" applyBorder="1" applyAlignment="1">
      <alignment horizontal="center" vertical="top" textRotation="90" wrapText="1"/>
    </xf>
    <xf numFmtId="49" fontId="4" fillId="2" borderId="2" xfId="0" applyNumberFormat="1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left" vertical="top" wrapText="1"/>
    </xf>
    <xf numFmtId="164" fontId="9" fillId="2" borderId="2" xfId="0" applyNumberFormat="1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left" vertical="top"/>
    </xf>
    <xf numFmtId="165" fontId="3" fillId="2" borderId="0" xfId="0" applyNumberFormat="1" applyFont="1" applyFill="1" applyBorder="1"/>
    <xf numFmtId="49" fontId="5" fillId="2" borderId="2" xfId="0" applyNumberFormat="1" applyFont="1" applyFill="1" applyBorder="1" applyAlignment="1">
      <alignment horizontal="center" vertical="top" wrapText="1"/>
    </xf>
    <xf numFmtId="2" fontId="5" fillId="2" borderId="2" xfId="0" applyNumberFormat="1" applyFont="1" applyFill="1" applyBorder="1" applyAlignment="1">
      <alignment horizontal="center" vertical="top"/>
    </xf>
    <xf numFmtId="2" fontId="5" fillId="2" borderId="2" xfId="0" applyNumberFormat="1" applyFont="1" applyFill="1" applyBorder="1" applyAlignment="1">
      <alignment horizontal="left" vertical="top"/>
    </xf>
    <xf numFmtId="0" fontId="4" fillId="2" borderId="2" xfId="0" applyFont="1" applyFill="1" applyBorder="1" applyAlignment="1">
      <alignment vertical="top"/>
    </xf>
    <xf numFmtId="0" fontId="5" fillId="2" borderId="2" xfId="0" applyFont="1" applyFill="1" applyBorder="1" applyAlignment="1">
      <alignment horizontal="left" vertical="top"/>
    </xf>
    <xf numFmtId="0" fontId="11" fillId="2" borderId="0" xfId="0" applyFont="1" applyFill="1" applyBorder="1" applyAlignment="1">
      <alignment horizontal="center" vertical="top"/>
    </xf>
    <xf numFmtId="0" fontId="12" fillId="2" borderId="0" xfId="0" applyFont="1" applyFill="1" applyBorder="1" applyAlignment="1">
      <alignment horizontal="left" vertical="top"/>
    </xf>
    <xf numFmtId="49" fontId="11" fillId="2" borderId="0" xfId="0" applyNumberFormat="1" applyFont="1" applyFill="1" applyBorder="1" applyAlignment="1">
      <alignment horizontal="center" vertical="top" wrapText="1"/>
    </xf>
    <xf numFmtId="49" fontId="11" fillId="2" borderId="0" xfId="0" applyNumberFormat="1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center" vertical="top"/>
    </xf>
    <xf numFmtId="164" fontId="11" fillId="2" borderId="0" xfId="0" applyNumberFormat="1" applyFont="1" applyFill="1" applyBorder="1" applyAlignment="1">
      <alignment horizontal="center" vertical="top"/>
    </xf>
    <xf numFmtId="0" fontId="11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center" vertical="top"/>
    </xf>
    <xf numFmtId="0" fontId="14" fillId="2" borderId="0" xfId="0" applyFont="1" applyFill="1" applyAlignment="1">
      <alignment horizontal="center"/>
    </xf>
    <xf numFmtId="164" fontId="14" fillId="2" borderId="0" xfId="0" applyNumberFormat="1" applyFont="1" applyFill="1" applyAlignment="1">
      <alignment horizontal="center"/>
    </xf>
    <xf numFmtId="0" fontId="16" fillId="2" borderId="2" xfId="0" applyFont="1" applyFill="1" applyBorder="1" applyAlignment="1">
      <alignment horizontal="center" vertical="center" wrapText="1"/>
    </xf>
    <xf numFmtId="164" fontId="16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top"/>
    </xf>
    <xf numFmtId="0" fontId="18" fillId="2" borderId="2" xfId="0" applyFont="1" applyFill="1" applyBorder="1" applyAlignment="1">
      <alignment vertical="top" wrapText="1"/>
    </xf>
    <xf numFmtId="0" fontId="17" fillId="2" borderId="2" xfId="0" applyFont="1" applyFill="1" applyBorder="1" applyAlignment="1">
      <alignment vertical="top" wrapText="1"/>
    </xf>
    <xf numFmtId="164" fontId="17" fillId="2" borderId="2" xfId="0" applyNumberFormat="1" applyFont="1" applyFill="1" applyBorder="1" applyAlignment="1">
      <alignment vertical="top" wrapText="1"/>
    </xf>
    <xf numFmtId="49" fontId="14" fillId="2" borderId="2" xfId="0" applyNumberFormat="1" applyFont="1" applyFill="1" applyBorder="1" applyAlignment="1">
      <alignment horizontal="center" vertical="top"/>
    </xf>
    <xf numFmtId="0" fontId="17" fillId="2" borderId="2" xfId="0" applyFont="1" applyFill="1" applyBorder="1" applyAlignment="1">
      <alignment horizontal="center" vertical="top" wrapText="1"/>
    </xf>
    <xf numFmtId="3" fontId="17" fillId="2" borderId="2" xfId="0" applyNumberFormat="1" applyFont="1" applyFill="1" applyBorder="1" applyAlignment="1">
      <alignment horizontal="center" vertical="top" wrapText="1"/>
    </xf>
    <xf numFmtId="0" fontId="17" fillId="2" borderId="2" xfId="0" applyFont="1" applyFill="1" applyBorder="1" applyAlignment="1">
      <alignment horizontal="left" vertical="top" wrapText="1"/>
    </xf>
    <xf numFmtId="0" fontId="17" fillId="2" borderId="2" xfId="0" applyFont="1" applyFill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center" vertical="top" wrapText="1"/>
    </xf>
    <xf numFmtId="0" fontId="19" fillId="2" borderId="2" xfId="0" applyFont="1" applyFill="1" applyBorder="1" applyAlignment="1">
      <alignment vertical="top" wrapText="1"/>
    </xf>
    <xf numFmtId="49" fontId="22" fillId="2" borderId="0" xfId="1" applyNumberFormat="1" applyFont="1" applyFill="1" applyAlignment="1">
      <alignment horizontal="center"/>
    </xf>
    <xf numFmtId="0" fontId="23" fillId="2" borderId="0" xfId="1" applyFont="1" applyFill="1" applyAlignment="1">
      <alignment horizontal="left"/>
    </xf>
    <xf numFmtId="0" fontId="23" fillId="2" borderId="0" xfId="1" applyFont="1" applyFill="1"/>
    <xf numFmtId="164" fontId="23" fillId="2" borderId="0" xfId="1" applyNumberFormat="1" applyFont="1" applyFill="1" applyBorder="1" applyAlignment="1">
      <alignment horizontal="center"/>
    </xf>
    <xf numFmtId="0" fontId="22" fillId="2" borderId="0" xfId="1" applyFont="1" applyFill="1" applyBorder="1"/>
    <xf numFmtId="0" fontId="22" fillId="2" borderId="0" xfId="1" applyFont="1" applyFill="1" applyBorder="1" applyAlignment="1">
      <alignment horizontal="left" vertical="top" wrapText="1"/>
    </xf>
    <xf numFmtId="0" fontId="22" fillId="2" borderId="0" xfId="1" applyFont="1" applyFill="1"/>
    <xf numFmtId="49" fontId="24" fillId="2" borderId="0" xfId="1" applyNumberFormat="1" applyFont="1" applyFill="1" applyBorder="1" applyAlignment="1"/>
    <xf numFmtId="49" fontId="24" fillId="2" borderId="0" xfId="1" applyNumberFormat="1" applyFont="1" applyFill="1" applyBorder="1" applyAlignment="1">
      <alignment horizontal="left"/>
    </xf>
    <xf numFmtId="0" fontId="22" fillId="2" borderId="0" xfId="1" applyFont="1" applyFill="1" applyBorder="1" applyAlignment="1">
      <alignment vertical="top"/>
    </xf>
    <xf numFmtId="49" fontId="24" fillId="2" borderId="0" xfId="1" applyNumberFormat="1" applyFont="1" applyFill="1" applyBorder="1" applyAlignment="1">
      <alignment wrapText="1"/>
    </xf>
    <xf numFmtId="49" fontId="24" fillId="2" borderId="0" xfId="1" applyNumberFormat="1" applyFont="1" applyFill="1" applyBorder="1" applyAlignment="1">
      <alignment horizontal="left" wrapText="1"/>
    </xf>
    <xf numFmtId="49" fontId="23" fillId="2" borderId="0" xfId="1" applyNumberFormat="1" applyFont="1" applyFill="1" applyBorder="1" applyAlignment="1">
      <alignment horizontal="center"/>
    </xf>
    <xf numFmtId="49" fontId="23" fillId="2" borderId="0" xfId="1" applyNumberFormat="1" applyFont="1" applyFill="1" applyBorder="1" applyAlignment="1">
      <alignment horizontal="left"/>
    </xf>
    <xf numFmtId="0" fontId="23" fillId="2" borderId="0" xfId="1" applyFont="1" applyFill="1" applyBorder="1" applyAlignment="1">
      <alignment horizontal="left" vertical="top" wrapText="1"/>
    </xf>
    <xf numFmtId="164" fontId="24" fillId="2" borderId="0" xfId="1" applyNumberFormat="1" applyFont="1" applyFill="1" applyBorder="1" applyAlignment="1">
      <alignment horizontal="center" vertical="center"/>
    </xf>
    <xf numFmtId="0" fontId="24" fillId="2" borderId="0" xfId="1" applyFont="1" applyFill="1" applyBorder="1" applyAlignment="1">
      <alignment horizontal="center" vertical="top"/>
    </xf>
    <xf numFmtId="0" fontId="22" fillId="2" borderId="0" xfId="1" applyFont="1" applyFill="1" applyBorder="1" applyAlignment="1">
      <alignment horizontal="center"/>
    </xf>
    <xf numFmtId="164" fontId="24" fillId="2" borderId="2" xfId="1" applyNumberFormat="1" applyFont="1" applyFill="1" applyBorder="1" applyAlignment="1">
      <alignment horizontal="center" vertical="top" wrapText="1"/>
    </xf>
    <xf numFmtId="49" fontId="24" fillId="2" borderId="2" xfId="1" applyNumberFormat="1" applyFont="1" applyFill="1" applyBorder="1" applyAlignment="1">
      <alignment horizontal="center" vertical="center" wrapText="1"/>
    </xf>
    <xf numFmtId="0" fontId="24" fillId="2" borderId="2" xfId="1" applyFont="1" applyFill="1" applyBorder="1" applyAlignment="1">
      <alignment horizontal="center" vertical="center" wrapText="1"/>
    </xf>
    <xf numFmtId="3" fontId="24" fillId="2" borderId="2" xfId="1" applyNumberFormat="1" applyFont="1" applyFill="1" applyBorder="1" applyAlignment="1">
      <alignment horizontal="center" vertical="center" wrapText="1"/>
    </xf>
    <xf numFmtId="0" fontId="24" fillId="2" borderId="0" xfId="1" applyFont="1" applyFill="1" applyBorder="1"/>
    <xf numFmtId="164" fontId="24" fillId="2" borderId="0" xfId="1" applyNumberFormat="1" applyFont="1" applyFill="1" applyBorder="1" applyAlignment="1">
      <alignment horizontal="center" vertical="top"/>
    </xf>
    <xf numFmtId="0" fontId="24" fillId="2" borderId="2" xfId="1" applyFont="1" applyFill="1" applyBorder="1" applyAlignment="1">
      <alignment vertical="top" wrapText="1"/>
    </xf>
    <xf numFmtId="49" fontId="27" fillId="2" borderId="2" xfId="1" applyNumberFormat="1" applyFont="1" applyFill="1" applyBorder="1" applyAlignment="1">
      <alignment horizontal="center" vertical="top" wrapText="1"/>
    </xf>
    <xf numFmtId="164" fontId="28" fillId="2" borderId="1" xfId="1" applyNumberFormat="1" applyFont="1" applyFill="1" applyBorder="1" applyAlignment="1">
      <alignment horizontal="center" vertical="top" wrapText="1"/>
    </xf>
    <xf numFmtId="0" fontId="29" fillId="2" borderId="0" xfId="1" applyFont="1" applyFill="1" applyBorder="1"/>
    <xf numFmtId="0" fontId="24" fillId="2" borderId="12" xfId="1" applyFont="1" applyFill="1" applyBorder="1" applyAlignment="1">
      <alignment horizontal="left" vertical="top" wrapText="1"/>
    </xf>
    <xf numFmtId="0" fontId="26" fillId="2" borderId="2" xfId="1" applyFont="1" applyFill="1" applyBorder="1" applyAlignment="1">
      <alignment vertical="top" wrapText="1"/>
    </xf>
    <xf numFmtId="49" fontId="24" fillId="2" borderId="2" xfId="1" applyNumberFormat="1" applyFont="1" applyFill="1" applyBorder="1" applyAlignment="1">
      <alignment horizontal="center" vertical="top"/>
    </xf>
    <xf numFmtId="0" fontId="24" fillId="2" borderId="8" xfId="1" applyFont="1" applyFill="1" applyBorder="1" applyAlignment="1">
      <alignment horizontal="left" vertical="top" wrapText="1"/>
    </xf>
    <xf numFmtId="164" fontId="26" fillId="2" borderId="4" xfId="1" applyNumberFormat="1" applyFont="1" applyFill="1" applyBorder="1" applyAlignment="1">
      <alignment horizontal="center" vertical="top" wrapText="1"/>
    </xf>
    <xf numFmtId="0" fontId="22" fillId="2" borderId="0" xfId="1" applyFont="1" applyFill="1" applyBorder="1" applyAlignment="1">
      <alignment horizontal="left"/>
    </xf>
    <xf numFmtId="0" fontId="24" fillId="2" borderId="5" xfId="1" applyFont="1" applyFill="1" applyBorder="1" applyAlignment="1">
      <alignment vertical="top" wrapText="1"/>
    </xf>
    <xf numFmtId="49" fontId="24" fillId="2" borderId="5" xfId="1" applyNumberFormat="1" applyFont="1" applyFill="1" applyBorder="1" applyAlignment="1">
      <alignment vertical="top" wrapText="1"/>
    </xf>
    <xf numFmtId="0" fontId="24" fillId="2" borderId="0" xfId="1" applyFont="1" applyFill="1" applyBorder="1" applyAlignment="1">
      <alignment horizontal="left" vertical="top" wrapText="1"/>
    </xf>
    <xf numFmtId="49" fontId="23" fillId="2" borderId="1" xfId="1" applyNumberFormat="1" applyFont="1" applyFill="1" applyBorder="1" applyAlignment="1">
      <alignment horizontal="center" vertical="top" wrapText="1"/>
    </xf>
    <xf numFmtId="49" fontId="23" fillId="2" borderId="2" xfId="1" applyNumberFormat="1" applyFont="1" applyFill="1" applyBorder="1" applyAlignment="1">
      <alignment horizontal="center" vertical="top" wrapText="1"/>
    </xf>
    <xf numFmtId="49" fontId="24" fillId="2" borderId="2" xfId="1" applyNumberFormat="1" applyFont="1" applyFill="1" applyBorder="1" applyAlignment="1">
      <alignment vertical="top" wrapText="1"/>
    </xf>
    <xf numFmtId="49" fontId="24" fillId="2" borderId="1" xfId="1" applyNumberFormat="1" applyFont="1" applyFill="1" applyBorder="1" applyAlignment="1">
      <alignment vertical="top" wrapText="1"/>
    </xf>
    <xf numFmtId="49" fontId="31" fillId="2" borderId="0" xfId="1" applyNumberFormat="1" applyFont="1" applyFill="1" applyBorder="1" applyAlignment="1">
      <alignment horizontal="left"/>
    </xf>
    <xf numFmtId="164" fontId="31" fillId="2" borderId="0" xfId="1" applyNumberFormat="1" applyFont="1" applyFill="1" applyBorder="1" applyAlignment="1">
      <alignment horizontal="center"/>
    </xf>
    <xf numFmtId="164" fontId="24" fillId="2" borderId="0" xfId="1" applyNumberFormat="1" applyFont="1" applyFill="1" applyBorder="1" applyAlignment="1">
      <alignment horizontal="center"/>
    </xf>
    <xf numFmtId="49" fontId="11" fillId="2" borderId="0" xfId="1" applyNumberFormat="1" applyFont="1" applyFill="1" applyBorder="1" applyAlignment="1">
      <alignment horizontal="right" wrapText="1"/>
    </xf>
    <xf numFmtId="49" fontId="12" fillId="2" borderId="0" xfId="1" applyNumberFormat="1" applyFont="1" applyFill="1" applyBorder="1" applyAlignment="1">
      <alignment horizontal="left" wrapText="1"/>
    </xf>
    <xf numFmtId="0" fontId="24" fillId="2" borderId="0" xfId="1" applyFont="1" applyFill="1" applyBorder="1" applyAlignment="1">
      <alignment horizontal="left"/>
    </xf>
    <xf numFmtId="0" fontId="4" fillId="2" borderId="2" xfId="0" applyFont="1" applyFill="1" applyBorder="1" applyAlignment="1">
      <alignment vertical="top" wrapText="1"/>
    </xf>
    <xf numFmtId="164" fontId="10" fillId="2" borderId="2" xfId="0" applyNumberFormat="1" applyFont="1" applyFill="1" applyBorder="1" applyAlignment="1">
      <alignment horizontal="center" vertical="top" wrapText="1"/>
    </xf>
    <xf numFmtId="0" fontId="4" fillId="2" borderId="2" xfId="0" applyNumberFormat="1" applyFont="1" applyFill="1" applyBorder="1" applyAlignment="1">
      <alignment horizontal="left" vertical="top" wrapText="1"/>
    </xf>
    <xf numFmtId="164" fontId="10" fillId="2" borderId="2" xfId="0" applyNumberFormat="1" applyFont="1" applyFill="1" applyBorder="1" applyAlignment="1">
      <alignment vertical="top"/>
    </xf>
    <xf numFmtId="164" fontId="10" fillId="2" borderId="2" xfId="0" applyNumberFormat="1" applyFont="1" applyFill="1" applyBorder="1" applyAlignment="1">
      <alignment vertical="top" wrapText="1"/>
    </xf>
    <xf numFmtId="164" fontId="4" fillId="2" borderId="2" xfId="0" applyNumberFormat="1" applyFont="1" applyFill="1" applyBorder="1" applyAlignment="1">
      <alignment vertical="top" wrapText="1"/>
    </xf>
    <xf numFmtId="0" fontId="4" fillId="2" borderId="2" xfId="0" applyNumberFormat="1" applyFont="1" applyFill="1" applyBorder="1" applyAlignment="1">
      <alignment vertical="top" wrapText="1"/>
    </xf>
    <xf numFmtId="49" fontId="4" fillId="2" borderId="2" xfId="0" applyNumberFormat="1" applyFont="1" applyFill="1" applyBorder="1" applyAlignment="1">
      <alignment horizontal="left" vertical="top" wrapText="1"/>
    </xf>
    <xf numFmtId="0" fontId="32" fillId="2" borderId="0" xfId="0" applyFont="1" applyFill="1"/>
    <xf numFmtId="0" fontId="0" fillId="2" borderId="0" xfId="0" applyFill="1"/>
    <xf numFmtId="49" fontId="4" fillId="2" borderId="2" xfId="0" applyNumberFormat="1" applyFont="1" applyFill="1" applyBorder="1" applyAlignment="1">
      <alignment horizontal="left" vertical="top"/>
    </xf>
    <xf numFmtId="0" fontId="0" fillId="2" borderId="0" xfId="0" applyFill="1" applyAlignment="1">
      <alignment horizontal="left"/>
    </xf>
    <xf numFmtId="165" fontId="4" fillId="2" borderId="2" xfId="0" applyNumberFormat="1" applyFont="1" applyFill="1" applyBorder="1" applyAlignment="1">
      <alignment horizontal="left" vertical="top" wrapText="1"/>
    </xf>
    <xf numFmtId="165" fontId="5" fillId="2" borderId="2" xfId="0" applyNumberFormat="1" applyFont="1" applyFill="1" applyBorder="1" applyAlignment="1">
      <alignment horizontal="left" vertical="top"/>
    </xf>
    <xf numFmtId="165" fontId="4" fillId="2" borderId="2" xfId="0" applyNumberFormat="1" applyFont="1" applyFill="1" applyBorder="1" applyAlignment="1">
      <alignment horizontal="left" vertical="top"/>
    </xf>
    <xf numFmtId="164" fontId="4" fillId="2" borderId="0" xfId="0" applyNumberFormat="1" applyFont="1" applyFill="1" applyBorder="1" applyAlignment="1">
      <alignment horizontal="right" vertical="top"/>
    </xf>
    <xf numFmtId="164" fontId="4" fillId="2" borderId="2" xfId="0" applyNumberFormat="1" applyFont="1" applyFill="1" applyBorder="1" applyAlignment="1">
      <alignment horizontal="right" vertical="top" textRotation="90" wrapText="1"/>
    </xf>
    <xf numFmtId="49" fontId="4" fillId="2" borderId="2" xfId="0" applyNumberFormat="1" applyFont="1" applyFill="1" applyBorder="1" applyAlignment="1">
      <alignment horizontal="right" vertical="top"/>
    </xf>
    <xf numFmtId="164" fontId="9" fillId="2" borderId="2" xfId="0" applyNumberFormat="1" applyFont="1" applyFill="1" applyBorder="1" applyAlignment="1">
      <alignment horizontal="right" vertical="top"/>
    </xf>
    <xf numFmtId="164" fontId="10" fillId="2" borderId="2" xfId="0" applyNumberFormat="1" applyFont="1" applyFill="1" applyBorder="1" applyAlignment="1">
      <alignment horizontal="right" vertical="top" wrapText="1"/>
    </xf>
    <xf numFmtId="49" fontId="11" fillId="2" borderId="0" xfId="0" applyNumberFormat="1" applyFont="1" applyFill="1" applyBorder="1" applyAlignment="1">
      <alignment horizontal="right" vertical="top" wrapText="1"/>
    </xf>
    <xf numFmtId="0" fontId="0" fillId="2" borderId="0" xfId="0" applyFill="1" applyAlignment="1">
      <alignment horizontal="right"/>
    </xf>
    <xf numFmtId="164" fontId="11" fillId="2" borderId="0" xfId="0" applyNumberFormat="1" applyFont="1" applyFill="1" applyBorder="1" applyAlignment="1">
      <alignment horizontal="right" vertical="top"/>
    </xf>
    <xf numFmtId="164" fontId="17" fillId="2" borderId="2" xfId="0" applyNumberFormat="1" applyFont="1" applyFill="1" applyBorder="1" applyAlignment="1">
      <alignment horizontal="center" vertical="top" wrapText="1"/>
    </xf>
    <xf numFmtId="164" fontId="28" fillId="2" borderId="2" xfId="1" applyNumberFormat="1" applyFont="1" applyFill="1" applyBorder="1" applyAlignment="1">
      <alignment horizontal="center" vertical="top" wrapText="1"/>
    </xf>
    <xf numFmtId="49" fontId="24" fillId="2" borderId="2" xfId="1" applyNumberFormat="1" applyFont="1" applyFill="1" applyBorder="1" applyAlignment="1">
      <alignment horizontal="center" vertical="top" wrapText="1"/>
    </xf>
    <xf numFmtId="0" fontId="24" fillId="2" borderId="2" xfId="1" applyFont="1" applyFill="1" applyBorder="1" applyAlignment="1">
      <alignment horizontal="center" vertical="top" wrapText="1"/>
    </xf>
    <xf numFmtId="0" fontId="26" fillId="2" borderId="2" xfId="1" applyFont="1" applyFill="1" applyBorder="1" applyAlignment="1">
      <alignment horizontal="center" vertical="top" wrapText="1"/>
    </xf>
    <xf numFmtId="165" fontId="17" fillId="2" borderId="2" xfId="0" applyNumberFormat="1" applyFont="1" applyFill="1" applyBorder="1" applyAlignment="1">
      <alignment horizontal="center" vertical="top" wrapText="1"/>
    </xf>
    <xf numFmtId="49" fontId="24" fillId="2" borderId="4" xfId="1" applyNumberFormat="1" applyFont="1" applyFill="1" applyBorder="1" applyAlignment="1">
      <alignment horizontal="center" vertical="top" wrapText="1"/>
    </xf>
    <xf numFmtId="3" fontId="4" fillId="2" borderId="2" xfId="0" applyNumberFormat="1" applyFont="1" applyFill="1" applyBorder="1" applyAlignment="1">
      <alignment horizontal="right" vertical="top"/>
    </xf>
    <xf numFmtId="0" fontId="24" fillId="2" borderId="1" xfId="1" applyFont="1" applyFill="1" applyBorder="1" applyAlignment="1">
      <alignment horizontal="center" vertical="top" wrapText="1"/>
    </xf>
    <xf numFmtId="0" fontId="24" fillId="2" borderId="7" xfId="1" applyFont="1" applyFill="1" applyBorder="1" applyAlignment="1">
      <alignment horizontal="center" vertical="top" wrapText="1"/>
    </xf>
    <xf numFmtId="0" fontId="24" fillId="2" borderId="5" xfId="1" applyFont="1" applyFill="1" applyBorder="1" applyAlignment="1">
      <alignment horizontal="center" vertical="top" wrapText="1"/>
    </xf>
    <xf numFmtId="49" fontId="24" fillId="2" borderId="1" xfId="1" applyNumberFormat="1" applyFont="1" applyFill="1" applyBorder="1" applyAlignment="1">
      <alignment horizontal="center" vertical="top" wrapText="1"/>
    </xf>
    <xf numFmtId="49" fontId="24" fillId="2" borderId="7" xfId="1" applyNumberFormat="1" applyFont="1" applyFill="1" applyBorder="1" applyAlignment="1">
      <alignment horizontal="center" vertical="top" wrapText="1"/>
    </xf>
    <xf numFmtId="49" fontId="24" fillId="2" borderId="5" xfId="1" applyNumberFormat="1" applyFont="1" applyFill="1" applyBorder="1" applyAlignment="1">
      <alignment horizontal="center" vertical="top" wrapText="1"/>
    </xf>
    <xf numFmtId="0" fontId="24" fillId="2" borderId="1" xfId="2" applyFont="1" applyFill="1" applyBorder="1" applyAlignment="1" applyProtection="1">
      <alignment horizontal="center" vertical="top" wrapText="1"/>
    </xf>
    <xf numFmtId="0" fontId="24" fillId="2" borderId="7" xfId="2" applyFont="1" applyFill="1" applyBorder="1" applyAlignment="1" applyProtection="1">
      <alignment horizontal="center" vertical="top" wrapText="1"/>
    </xf>
    <xf numFmtId="0" fontId="24" fillId="2" borderId="5" xfId="2" applyFont="1" applyFill="1" applyBorder="1" applyAlignment="1" applyProtection="1">
      <alignment horizontal="center" vertical="top" wrapText="1"/>
    </xf>
    <xf numFmtId="164" fontId="26" fillId="2" borderId="1" xfId="1" applyNumberFormat="1" applyFont="1" applyFill="1" applyBorder="1" applyAlignment="1">
      <alignment horizontal="center" vertical="top" wrapText="1"/>
    </xf>
    <xf numFmtId="0" fontId="24" fillId="2" borderId="1" xfId="1" applyFont="1" applyFill="1" applyBorder="1" applyAlignment="1">
      <alignment horizontal="left" vertical="top" wrapText="1"/>
    </xf>
    <xf numFmtId="0" fontId="24" fillId="2" borderId="5" xfId="1" applyFont="1" applyFill="1" applyBorder="1" applyAlignment="1">
      <alignment horizontal="left" vertical="top" wrapText="1"/>
    </xf>
    <xf numFmtId="14" fontId="26" fillId="2" borderId="1" xfId="1" applyNumberFormat="1" applyFont="1" applyFill="1" applyBorder="1" applyAlignment="1">
      <alignment horizontal="center" vertical="top" wrapText="1"/>
    </xf>
    <xf numFmtId="14" fontId="26" fillId="2" borderId="5" xfId="1" applyNumberFormat="1" applyFont="1" applyFill="1" applyBorder="1" applyAlignment="1">
      <alignment horizontal="center" vertical="top" wrapText="1"/>
    </xf>
    <xf numFmtId="0" fontId="26" fillId="2" borderId="1" xfId="1" applyFont="1" applyFill="1" applyBorder="1" applyAlignment="1">
      <alignment horizontal="center" vertical="top" wrapText="1"/>
    </xf>
    <xf numFmtId="0" fontId="26" fillId="2" borderId="5" xfId="1" applyFont="1" applyFill="1" applyBorder="1" applyAlignment="1">
      <alignment horizontal="center" vertical="top" wrapText="1"/>
    </xf>
    <xf numFmtId="0" fontId="24" fillId="2" borderId="7" xfId="1" applyFont="1" applyFill="1" applyBorder="1" applyAlignment="1">
      <alignment horizontal="left" vertical="top" wrapText="1"/>
    </xf>
    <xf numFmtId="14" fontId="26" fillId="2" borderId="7" xfId="1" applyNumberFormat="1" applyFont="1" applyFill="1" applyBorder="1" applyAlignment="1">
      <alignment horizontal="center" vertical="top" wrapText="1"/>
    </xf>
    <xf numFmtId="49" fontId="24" fillId="2" borderId="5" xfId="1" applyNumberFormat="1" applyFont="1" applyFill="1" applyBorder="1" applyAlignment="1">
      <alignment horizontal="left" vertical="top" wrapText="1"/>
    </xf>
    <xf numFmtId="14" fontId="26" fillId="2" borderId="2" xfId="1" applyNumberFormat="1" applyFont="1" applyFill="1" applyBorder="1" applyAlignment="1">
      <alignment horizontal="center" vertical="top" wrapText="1"/>
    </xf>
    <xf numFmtId="164" fontId="26" fillId="2" borderId="2" xfId="1" applyNumberFormat="1" applyFont="1" applyFill="1" applyBorder="1" applyAlignment="1">
      <alignment horizontal="center" vertical="top" wrapText="1"/>
    </xf>
    <xf numFmtId="0" fontId="24" fillId="2" borderId="2" xfId="1" applyFont="1" applyFill="1" applyBorder="1" applyAlignment="1">
      <alignment horizontal="left" vertical="top" wrapText="1"/>
    </xf>
    <xf numFmtId="0" fontId="24" fillId="2" borderId="1" xfId="1" applyFont="1" applyFill="1" applyBorder="1" applyAlignment="1">
      <alignment vertical="top" wrapText="1"/>
    </xf>
    <xf numFmtId="164" fontId="9" fillId="2" borderId="0" xfId="0" applyNumberFormat="1" applyFont="1" applyFill="1" applyBorder="1" applyAlignment="1">
      <alignment horizontal="right" vertical="top"/>
    </xf>
    <xf numFmtId="0" fontId="34" fillId="2" borderId="2" xfId="0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34" fillId="2" borderId="0" xfId="0" applyFont="1" applyFill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center" vertical="center"/>
    </xf>
    <xf numFmtId="0" fontId="36" fillId="2" borderId="2" xfId="0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/>
    </xf>
    <xf numFmtId="0" fontId="37" fillId="2" borderId="0" xfId="0" applyFont="1" applyFill="1" applyBorder="1" applyAlignment="1">
      <alignment horizontal="center" vertical="center"/>
    </xf>
    <xf numFmtId="2" fontId="10" fillId="2" borderId="0" xfId="0" applyNumberFormat="1" applyFont="1" applyFill="1" applyBorder="1" applyAlignment="1">
      <alignment horizontal="center" vertical="center"/>
    </xf>
    <xf numFmtId="0" fontId="38" fillId="2" borderId="0" xfId="0" applyFont="1" applyFill="1" applyAlignment="1">
      <alignment horizontal="center" vertical="center"/>
    </xf>
    <xf numFmtId="0" fontId="39" fillId="2" borderId="0" xfId="0" applyFont="1" applyFill="1"/>
    <xf numFmtId="164" fontId="39" fillId="2" borderId="0" xfId="0" applyNumberFormat="1" applyFont="1" applyFill="1"/>
    <xf numFmtId="49" fontId="24" fillId="2" borderId="5" xfId="1" applyNumberFormat="1" applyFont="1" applyFill="1" applyBorder="1" applyAlignment="1">
      <alignment horizontal="center" vertical="top" wrapText="1"/>
    </xf>
    <xf numFmtId="164" fontId="26" fillId="2" borderId="1" xfId="1" applyNumberFormat="1" applyFont="1" applyFill="1" applyBorder="1" applyAlignment="1">
      <alignment horizontal="center" vertical="top" wrapText="1"/>
    </xf>
    <xf numFmtId="164" fontId="26" fillId="2" borderId="7" xfId="1" applyNumberFormat="1" applyFont="1" applyFill="1" applyBorder="1" applyAlignment="1">
      <alignment horizontal="center" vertical="top" wrapText="1"/>
    </xf>
    <xf numFmtId="164" fontId="26" fillId="2" borderId="5" xfId="1" applyNumberFormat="1" applyFont="1" applyFill="1" applyBorder="1" applyAlignment="1">
      <alignment horizontal="center" vertical="top" wrapText="1"/>
    </xf>
    <xf numFmtId="164" fontId="26" fillId="2" borderId="2" xfId="1" applyNumberFormat="1" applyFont="1" applyFill="1" applyBorder="1" applyAlignment="1">
      <alignment horizontal="center" vertical="top" wrapText="1"/>
    </xf>
    <xf numFmtId="0" fontId="26" fillId="2" borderId="5" xfId="1" applyFont="1" applyFill="1" applyBorder="1" applyAlignment="1">
      <alignment horizontal="center" vertical="top" wrapText="1"/>
    </xf>
    <xf numFmtId="0" fontId="26" fillId="2" borderId="1" xfId="1" applyFont="1" applyFill="1" applyBorder="1" applyAlignment="1">
      <alignment horizontal="center" vertical="top" wrapText="1"/>
    </xf>
    <xf numFmtId="49" fontId="24" fillId="2" borderId="5" xfId="1" applyNumberFormat="1" applyFont="1" applyFill="1" applyBorder="1" applyAlignment="1">
      <alignment horizontal="center" vertical="top" wrapText="1"/>
    </xf>
    <xf numFmtId="164" fontId="26" fillId="2" borderId="1" xfId="1" applyNumberFormat="1" applyFont="1" applyFill="1" applyBorder="1" applyAlignment="1">
      <alignment horizontal="center" vertical="top" wrapText="1"/>
    </xf>
    <xf numFmtId="164" fontId="26" fillId="2" borderId="7" xfId="1" applyNumberFormat="1" applyFont="1" applyFill="1" applyBorder="1" applyAlignment="1">
      <alignment horizontal="center" vertical="top" wrapText="1"/>
    </xf>
    <xf numFmtId="164" fontId="26" fillId="2" borderId="5" xfId="1" applyNumberFormat="1" applyFont="1" applyFill="1" applyBorder="1" applyAlignment="1">
      <alignment horizontal="center" vertical="top" wrapText="1"/>
    </xf>
    <xf numFmtId="164" fontId="26" fillId="2" borderId="2" xfId="1" applyNumberFormat="1" applyFont="1" applyFill="1" applyBorder="1" applyAlignment="1">
      <alignment horizontal="center" vertical="top" wrapText="1"/>
    </xf>
    <xf numFmtId="0" fontId="26" fillId="2" borderId="5" xfId="1" applyFont="1" applyFill="1" applyBorder="1" applyAlignment="1">
      <alignment horizontal="center" vertical="top" wrapText="1"/>
    </xf>
    <xf numFmtId="164" fontId="26" fillId="2" borderId="12" xfId="1" applyNumberFormat="1" applyFont="1" applyFill="1" applyBorder="1" applyAlignment="1">
      <alignment horizontal="center" vertical="top" wrapText="1"/>
    </xf>
    <xf numFmtId="164" fontId="26" fillId="2" borderId="11" xfId="1" applyNumberFormat="1" applyFont="1" applyFill="1" applyBorder="1" applyAlignment="1">
      <alignment horizontal="center" vertical="top" wrapText="1"/>
    </xf>
    <xf numFmtId="164" fontId="26" fillId="2" borderId="6" xfId="1" applyNumberFormat="1" applyFont="1" applyFill="1" applyBorder="1" applyAlignment="1">
      <alignment horizontal="center" vertical="top" wrapText="1"/>
    </xf>
    <xf numFmtId="164" fontId="26" fillId="2" borderId="2" xfId="1" applyNumberFormat="1" applyFont="1" applyFill="1" applyBorder="1" applyAlignment="1">
      <alignment horizontal="center" vertical="top" wrapText="1"/>
    </xf>
    <xf numFmtId="49" fontId="24" fillId="2" borderId="5" xfId="1" applyNumberFormat="1" applyFont="1" applyFill="1" applyBorder="1" applyAlignment="1">
      <alignment horizontal="center" vertical="top" wrapText="1"/>
    </xf>
    <xf numFmtId="164" fontId="26" fillId="2" borderId="2" xfId="1" applyNumberFormat="1" applyFont="1" applyFill="1" applyBorder="1" applyAlignment="1">
      <alignment horizontal="center" vertical="top" wrapText="1"/>
    </xf>
    <xf numFmtId="164" fontId="26" fillId="2" borderId="1" xfId="1" applyNumberFormat="1" applyFont="1" applyFill="1" applyBorder="1" applyAlignment="1">
      <alignment horizontal="center" vertical="top" wrapText="1"/>
    </xf>
    <xf numFmtId="164" fontId="26" fillId="2" borderId="7" xfId="1" applyNumberFormat="1" applyFont="1" applyFill="1" applyBorder="1" applyAlignment="1">
      <alignment horizontal="center" vertical="top" wrapText="1"/>
    </xf>
    <xf numFmtId="164" fontId="26" fillId="2" borderId="5" xfId="1" applyNumberFormat="1" applyFont="1" applyFill="1" applyBorder="1" applyAlignment="1">
      <alignment horizontal="center" vertical="top" wrapText="1"/>
    </xf>
    <xf numFmtId="49" fontId="24" fillId="2" borderId="5" xfId="1" applyNumberFormat="1" applyFont="1" applyFill="1" applyBorder="1" applyAlignment="1">
      <alignment vertical="top" wrapText="1"/>
    </xf>
    <xf numFmtId="0" fontId="26" fillId="2" borderId="5" xfId="1" applyFont="1" applyFill="1" applyBorder="1" applyAlignment="1">
      <alignment horizontal="center" vertical="top" wrapText="1"/>
    </xf>
    <xf numFmtId="0" fontId="23" fillId="2" borderId="0" xfId="1" applyFont="1" applyFill="1" applyBorder="1"/>
    <xf numFmtId="164" fontId="24" fillId="2" borderId="0" xfId="1" applyNumberFormat="1" applyFont="1" applyFill="1" applyBorder="1" applyAlignment="1">
      <alignment horizontal="center" vertical="center" wrapText="1"/>
    </xf>
    <xf numFmtId="164" fontId="24" fillId="2" borderId="0" xfId="2" applyNumberFormat="1" applyFont="1" applyFill="1" applyBorder="1" applyAlignment="1" applyProtection="1">
      <alignment horizontal="center" vertical="top" wrapText="1"/>
    </xf>
    <xf numFmtId="164" fontId="24" fillId="2" borderId="0" xfId="1" applyNumberFormat="1" applyFont="1" applyFill="1" applyBorder="1" applyAlignment="1">
      <alignment horizontal="center" vertical="top" wrapText="1"/>
    </xf>
    <xf numFmtId="3" fontId="24" fillId="2" borderId="0" xfId="1" applyNumberFormat="1" applyFont="1" applyFill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left" vertical="top" wrapText="1"/>
    </xf>
    <xf numFmtId="0" fontId="24" fillId="2" borderId="5" xfId="1" applyFont="1" applyFill="1" applyBorder="1" applyAlignment="1">
      <alignment horizontal="left" vertical="top" wrapText="1"/>
    </xf>
    <xf numFmtId="0" fontId="24" fillId="2" borderId="1" xfId="1" applyFont="1" applyFill="1" applyBorder="1" applyAlignment="1">
      <alignment vertical="top" wrapText="1"/>
    </xf>
    <xf numFmtId="14" fontId="26" fillId="2" borderId="2" xfId="1" applyNumberFormat="1" applyFont="1" applyFill="1" applyBorder="1" applyAlignment="1">
      <alignment horizontal="center" vertical="top" wrapText="1"/>
    </xf>
    <xf numFmtId="0" fontId="24" fillId="2" borderId="2" xfId="1" applyFont="1" applyFill="1" applyBorder="1" applyAlignment="1">
      <alignment horizontal="left" vertical="top" wrapText="1"/>
    </xf>
    <xf numFmtId="0" fontId="26" fillId="2" borderId="1" xfId="1" applyFont="1" applyFill="1" applyBorder="1" applyAlignment="1">
      <alignment horizontal="center" vertical="top" wrapText="1"/>
    </xf>
    <xf numFmtId="164" fontId="26" fillId="2" borderId="2" xfId="1" applyNumberFormat="1" applyFont="1" applyFill="1" applyBorder="1" applyAlignment="1">
      <alignment horizontal="center" vertical="top" wrapText="1"/>
    </xf>
    <xf numFmtId="14" fontId="26" fillId="2" borderId="2" xfId="1" applyNumberFormat="1" applyFont="1" applyFill="1" applyBorder="1" applyAlignment="1">
      <alignment horizontal="center" vertical="top" wrapText="1"/>
    </xf>
    <xf numFmtId="0" fontId="24" fillId="2" borderId="2" xfId="1" applyFont="1" applyFill="1" applyBorder="1" applyAlignment="1">
      <alignment horizontal="left" vertical="top" wrapText="1"/>
    </xf>
    <xf numFmtId="165" fontId="28" fillId="2" borderId="2" xfId="1" applyNumberFormat="1" applyFont="1" applyFill="1" applyBorder="1" applyAlignment="1">
      <alignment horizontal="center" vertical="top" wrapText="1"/>
    </xf>
    <xf numFmtId="164" fontId="26" fillId="2" borderId="2" xfId="1" applyNumberFormat="1" applyFont="1" applyFill="1" applyBorder="1" applyAlignment="1">
      <alignment horizontal="center" vertical="top" wrapText="1"/>
    </xf>
    <xf numFmtId="164" fontId="26" fillId="2" borderId="5" xfId="1" applyNumberFormat="1" applyFont="1" applyFill="1" applyBorder="1" applyAlignment="1">
      <alignment horizontal="center" vertical="top" wrapText="1"/>
    </xf>
    <xf numFmtId="14" fontId="26" fillId="2" borderId="5" xfId="1" applyNumberFormat="1" applyFont="1" applyFill="1" applyBorder="1" applyAlignment="1">
      <alignment horizontal="center" vertical="top" wrapText="1"/>
    </xf>
    <xf numFmtId="0" fontId="24" fillId="2" borderId="2" xfId="1" applyFont="1" applyFill="1" applyBorder="1" applyAlignment="1">
      <alignment horizontal="left" vertical="top" wrapText="1"/>
    </xf>
    <xf numFmtId="14" fontId="26" fillId="2" borderId="2" xfId="1" applyNumberFormat="1" applyFont="1" applyFill="1" applyBorder="1" applyAlignment="1">
      <alignment horizontal="center" vertical="top" wrapText="1"/>
    </xf>
    <xf numFmtId="0" fontId="0" fillId="4" borderId="0" xfId="0" applyFill="1"/>
    <xf numFmtId="0" fontId="46" fillId="2" borderId="5" xfId="1" applyFont="1" applyFill="1" applyBorder="1" applyAlignment="1">
      <alignment horizontal="left" vertical="top" wrapText="1"/>
    </xf>
    <xf numFmtId="0" fontId="0" fillId="5" borderId="0" xfId="0" applyFill="1"/>
    <xf numFmtId="0" fontId="42" fillId="2" borderId="2" xfId="0" applyFont="1" applyFill="1" applyBorder="1" applyAlignment="1">
      <alignment horizontal="left" vertical="top"/>
    </xf>
    <xf numFmtId="164" fontId="47" fillId="2" borderId="2" xfId="1" applyNumberFormat="1" applyFont="1" applyFill="1" applyBorder="1" applyAlignment="1">
      <alignment horizontal="center" vertical="top" wrapText="1"/>
    </xf>
    <xf numFmtId="0" fontId="38" fillId="2" borderId="0" xfId="0" applyFont="1" applyFill="1" applyAlignment="1">
      <alignment vertical="top"/>
    </xf>
    <xf numFmtId="0" fontId="39" fillId="2" borderId="0" xfId="0" applyFont="1" applyFill="1" applyAlignment="1">
      <alignment vertical="top"/>
    </xf>
    <xf numFmtId="0" fontId="26" fillId="2" borderId="5" xfId="1" applyFont="1" applyFill="1" applyBorder="1" applyAlignment="1">
      <alignment vertical="top" wrapText="1"/>
    </xf>
    <xf numFmtId="14" fontId="26" fillId="2" borderId="2" xfId="1" applyNumberFormat="1" applyFont="1" applyFill="1" applyBorder="1" applyAlignment="1">
      <alignment vertical="top" wrapText="1"/>
    </xf>
    <xf numFmtId="0" fontId="48" fillId="2" borderId="2" xfId="1" applyFont="1" applyFill="1" applyBorder="1" applyAlignment="1">
      <alignment horizontal="left" vertical="top" wrapText="1"/>
    </xf>
    <xf numFmtId="0" fontId="49" fillId="2" borderId="0" xfId="1" applyFont="1" applyFill="1" applyBorder="1"/>
    <xf numFmtId="0" fontId="50" fillId="2" borderId="0" xfId="0" applyFont="1" applyFill="1"/>
    <xf numFmtId="0" fontId="51" fillId="2" borderId="1" xfId="1" applyFont="1" applyFill="1" applyBorder="1" applyAlignment="1">
      <alignment horizontal="left" vertical="top" wrapText="1"/>
    </xf>
    <xf numFmtId="0" fontId="52" fillId="2" borderId="0" xfId="1" applyFont="1" applyFill="1" applyBorder="1"/>
    <xf numFmtId="0" fontId="53" fillId="2" borderId="0" xfId="0" applyFont="1" applyFill="1"/>
    <xf numFmtId="49" fontId="45" fillId="2" borderId="8" xfId="1" applyNumberFormat="1" applyFont="1" applyFill="1" applyBorder="1" applyAlignment="1">
      <alignment horizontal="center"/>
    </xf>
    <xf numFmtId="0" fontId="46" fillId="2" borderId="8" xfId="1" applyFont="1" applyFill="1" applyBorder="1" applyAlignment="1">
      <alignment horizontal="left" vertical="top" wrapText="1"/>
    </xf>
    <xf numFmtId="0" fontId="46" fillId="2" borderId="0" xfId="1" applyFont="1" applyFill="1" applyBorder="1" applyAlignment="1">
      <alignment horizontal="left" vertical="top" wrapText="1"/>
    </xf>
    <xf numFmtId="164" fontId="44" fillId="2" borderId="0" xfId="1" applyNumberFormat="1" applyFont="1" applyFill="1" applyBorder="1" applyAlignment="1">
      <alignment horizontal="center" vertical="top" wrapText="1"/>
    </xf>
    <xf numFmtId="0" fontId="45" fillId="2" borderId="0" xfId="1" applyFont="1" applyFill="1" applyBorder="1" applyAlignment="1">
      <alignment horizontal="left" vertical="top" wrapText="1"/>
    </xf>
    <xf numFmtId="164" fontId="44" fillId="2" borderId="8" xfId="1" applyNumberFormat="1" applyFont="1" applyFill="1" applyBorder="1" applyAlignment="1">
      <alignment horizontal="center" vertical="top" wrapText="1"/>
    </xf>
    <xf numFmtId="164" fontId="26" fillId="2" borderId="5" xfId="1" applyNumberFormat="1" applyFont="1" applyFill="1" applyBorder="1" applyAlignment="1">
      <alignment horizontal="center" vertical="top" wrapText="1"/>
    </xf>
    <xf numFmtId="0" fontId="20" fillId="2" borderId="0" xfId="0" applyFont="1" applyFill="1" applyAlignment="1">
      <alignment horizontal="center" vertical="top" wrapText="1"/>
    </xf>
    <xf numFmtId="166" fontId="17" fillId="2" borderId="2" xfId="0" applyNumberFormat="1" applyFont="1" applyFill="1" applyBorder="1" applyAlignment="1">
      <alignment horizontal="center" vertical="top" wrapText="1"/>
    </xf>
    <xf numFmtId="2" fontId="17" fillId="2" borderId="2" xfId="0" applyNumberFormat="1" applyFont="1" applyFill="1" applyBorder="1" applyAlignment="1">
      <alignment horizontal="center" vertical="top" wrapText="1"/>
    </xf>
    <xf numFmtId="3" fontId="19" fillId="2" borderId="2" xfId="0" applyNumberFormat="1" applyFont="1" applyFill="1" applyBorder="1" applyAlignment="1">
      <alignment horizontal="center" vertical="top" wrapText="1"/>
    </xf>
    <xf numFmtId="164" fontId="26" fillId="2" borderId="2" xfId="1" applyNumberFormat="1" applyFont="1" applyFill="1" applyBorder="1" applyAlignment="1">
      <alignment horizontal="center" vertical="top" wrapText="1"/>
    </xf>
    <xf numFmtId="0" fontId="24" fillId="2" borderId="2" xfId="1" applyFont="1" applyFill="1" applyBorder="1" applyAlignment="1">
      <alignment horizontal="left" vertical="top" wrapText="1"/>
    </xf>
    <xf numFmtId="14" fontId="26" fillId="2" borderId="2" xfId="1" applyNumberFormat="1" applyFont="1" applyFill="1" applyBorder="1" applyAlignment="1">
      <alignment horizontal="center" vertical="top" wrapText="1"/>
    </xf>
    <xf numFmtId="49" fontId="24" fillId="2" borderId="2" xfId="1" applyNumberFormat="1" applyFont="1" applyFill="1" applyBorder="1" applyAlignment="1">
      <alignment horizontal="center" vertical="top" wrapText="1"/>
    </xf>
    <xf numFmtId="0" fontId="24" fillId="2" borderId="2" xfId="1" applyFont="1" applyFill="1" applyBorder="1" applyAlignment="1">
      <alignment horizontal="center" vertical="top" wrapText="1"/>
    </xf>
    <xf numFmtId="164" fontId="26" fillId="2" borderId="0" xfId="1" applyNumberFormat="1" applyFont="1" applyFill="1" applyBorder="1" applyAlignment="1">
      <alignment horizontal="center" vertical="center"/>
    </xf>
    <xf numFmtId="164" fontId="26" fillId="2" borderId="0" xfId="1" applyNumberFormat="1" applyFont="1" applyFill="1" applyBorder="1" applyAlignment="1">
      <alignment horizontal="center" vertical="center" wrapText="1"/>
    </xf>
    <xf numFmtId="0" fontId="26" fillId="2" borderId="0" xfId="0" applyFont="1" applyFill="1"/>
    <xf numFmtId="0" fontId="26" fillId="2" borderId="0" xfId="1" applyFont="1" applyFill="1" applyAlignment="1">
      <alignment horizontal="center" vertical="center"/>
    </xf>
    <xf numFmtId="0" fontId="26" fillId="2" borderId="0" xfId="1" applyFont="1" applyFill="1" applyBorder="1" applyAlignment="1">
      <alignment horizontal="center" vertical="center"/>
    </xf>
    <xf numFmtId="0" fontId="43" fillId="2" borderId="0" xfId="1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164" fontId="26" fillId="2" borderId="2" xfId="1" applyNumberFormat="1" applyFont="1" applyFill="1" applyBorder="1" applyAlignment="1">
      <alignment horizontal="center" vertical="center"/>
    </xf>
    <xf numFmtId="0" fontId="26" fillId="2" borderId="2" xfId="1" applyFont="1" applyFill="1" applyBorder="1" applyAlignment="1">
      <alignment horizontal="center" vertical="center"/>
    </xf>
    <xf numFmtId="164" fontId="26" fillId="2" borderId="0" xfId="1" applyNumberFormat="1" applyFont="1" applyFill="1" applyBorder="1" applyAlignment="1">
      <alignment vertical="center"/>
    </xf>
    <xf numFmtId="164" fontId="26" fillId="2" borderId="9" xfId="1" applyNumberFormat="1" applyFont="1" applyFill="1" applyBorder="1" applyAlignment="1">
      <alignment vertical="center"/>
    </xf>
    <xf numFmtId="0" fontId="54" fillId="2" borderId="0" xfId="1" applyFont="1" applyFill="1" applyBorder="1" applyAlignment="1">
      <alignment vertical="center"/>
    </xf>
    <xf numFmtId="0" fontId="24" fillId="2" borderId="5" xfId="1" applyFont="1" applyFill="1" applyBorder="1" applyAlignment="1">
      <alignment horizontal="left" vertical="top" wrapText="1"/>
    </xf>
    <xf numFmtId="0" fontId="24" fillId="2" borderId="5" xfId="1" applyFont="1" applyFill="1" applyBorder="1" applyAlignment="1">
      <alignment horizontal="center" vertical="top" wrapText="1"/>
    </xf>
    <xf numFmtId="14" fontId="26" fillId="2" borderId="1" xfId="1" applyNumberFormat="1" applyFont="1" applyFill="1" applyBorder="1" applyAlignment="1">
      <alignment horizontal="center" vertical="top" wrapText="1"/>
    </xf>
    <xf numFmtId="0" fontId="26" fillId="2" borderId="1" xfId="1" applyFont="1" applyFill="1" applyBorder="1" applyAlignment="1">
      <alignment horizontal="center" vertical="top" wrapText="1"/>
    </xf>
    <xf numFmtId="0" fontId="26" fillId="2" borderId="5" xfId="1" applyFont="1" applyFill="1" applyBorder="1" applyAlignment="1">
      <alignment horizontal="center" vertical="top" wrapText="1"/>
    </xf>
    <xf numFmtId="164" fontId="24" fillId="2" borderId="0" xfId="1" applyNumberFormat="1" applyFont="1" applyFill="1" applyBorder="1" applyAlignment="1">
      <alignment horizontal="center"/>
    </xf>
    <xf numFmtId="49" fontId="24" fillId="2" borderId="5" xfId="1" applyNumberFormat="1" applyFont="1" applyFill="1" applyBorder="1" applyAlignment="1">
      <alignment horizontal="center" vertical="top" wrapText="1"/>
    </xf>
    <xf numFmtId="164" fontId="26" fillId="2" borderId="1" xfId="1" applyNumberFormat="1" applyFont="1" applyFill="1" applyBorder="1" applyAlignment="1">
      <alignment horizontal="center" vertical="top" wrapText="1"/>
    </xf>
    <xf numFmtId="164" fontId="26" fillId="2" borderId="5" xfId="1" applyNumberFormat="1" applyFont="1" applyFill="1" applyBorder="1" applyAlignment="1">
      <alignment horizontal="center" vertical="top" wrapText="1"/>
    </xf>
    <xf numFmtId="164" fontId="26" fillId="2" borderId="2" xfId="1" applyNumberFormat="1" applyFont="1" applyFill="1" applyBorder="1" applyAlignment="1">
      <alignment horizontal="center" vertical="top" wrapText="1"/>
    </xf>
    <xf numFmtId="49" fontId="24" fillId="2" borderId="2" xfId="1" applyNumberFormat="1" applyFont="1" applyFill="1" applyBorder="1" applyAlignment="1">
      <alignment horizontal="center" vertical="top" wrapText="1"/>
    </xf>
    <xf numFmtId="0" fontId="24" fillId="2" borderId="2" xfId="1" applyFont="1" applyFill="1" applyBorder="1" applyAlignment="1">
      <alignment horizontal="left" vertical="top" wrapText="1"/>
    </xf>
    <xf numFmtId="0" fontId="24" fillId="2" borderId="2" xfId="1" applyFont="1" applyFill="1" applyBorder="1" applyAlignment="1">
      <alignment horizontal="center" vertical="top" wrapText="1"/>
    </xf>
    <xf numFmtId="14" fontId="26" fillId="2" borderId="2" xfId="1" applyNumberFormat="1" applyFont="1" applyFill="1" applyBorder="1" applyAlignment="1">
      <alignment horizontal="center" vertical="top" wrapText="1"/>
    </xf>
    <xf numFmtId="164" fontId="26" fillId="2" borderId="12" xfId="1" applyNumberFormat="1" applyFont="1" applyFill="1" applyBorder="1" applyAlignment="1">
      <alignment horizontal="center" vertical="top" wrapText="1"/>
    </xf>
    <xf numFmtId="164" fontId="26" fillId="2" borderId="7" xfId="1" applyNumberFormat="1" applyFont="1" applyFill="1" applyBorder="1" applyAlignment="1">
      <alignment horizontal="center" vertical="top" wrapText="1"/>
    </xf>
    <xf numFmtId="49" fontId="24" fillId="2" borderId="5" xfId="1" applyNumberFormat="1" applyFont="1" applyFill="1" applyBorder="1" applyAlignment="1">
      <alignment vertical="top" wrapText="1"/>
    </xf>
    <xf numFmtId="164" fontId="28" fillId="2" borderId="5" xfId="1" applyNumberFormat="1" applyFont="1" applyFill="1" applyBorder="1" applyAlignment="1">
      <alignment horizontal="center" vertical="top" wrapText="1"/>
    </xf>
    <xf numFmtId="49" fontId="24" fillId="2" borderId="2" xfId="1" applyNumberFormat="1" applyFont="1" applyFill="1" applyBorder="1" applyAlignment="1">
      <alignment horizontal="center"/>
    </xf>
    <xf numFmtId="49" fontId="28" fillId="2" borderId="8" xfId="1" applyNumberFormat="1" applyFont="1" applyFill="1" applyBorder="1" applyAlignment="1">
      <alignment horizontal="center" vertical="top" wrapText="1"/>
    </xf>
    <xf numFmtId="165" fontId="28" fillId="2" borderId="8" xfId="1" applyNumberFormat="1" applyFont="1" applyFill="1" applyBorder="1" applyAlignment="1">
      <alignment horizontal="center" vertical="top" wrapText="1"/>
    </xf>
    <xf numFmtId="2" fontId="4" fillId="2" borderId="2" xfId="0" applyNumberFormat="1" applyFont="1" applyFill="1" applyBorder="1" applyAlignment="1">
      <alignment horizontal="center" vertical="top"/>
    </xf>
    <xf numFmtId="0" fontId="0" fillId="2" borderId="0" xfId="0" applyFont="1" applyFill="1"/>
    <xf numFmtId="164" fontId="41" fillId="2" borderId="2" xfId="0" applyNumberFormat="1" applyFont="1" applyFill="1" applyBorder="1" applyAlignment="1">
      <alignment horizontal="left" vertical="top" wrapText="1"/>
    </xf>
    <xf numFmtId="0" fontId="19" fillId="2" borderId="2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center"/>
    </xf>
    <xf numFmtId="164" fontId="4" fillId="2" borderId="2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top" wrapText="1"/>
    </xf>
    <xf numFmtId="164" fontId="4" fillId="2" borderId="2" xfId="0" applyNumberFormat="1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vertical="top"/>
    </xf>
    <xf numFmtId="164" fontId="10" fillId="2" borderId="2" xfId="0" applyNumberFormat="1" applyFont="1" applyFill="1" applyBorder="1" applyAlignment="1">
      <alignment horizontal="center" vertical="top"/>
    </xf>
    <xf numFmtId="164" fontId="10" fillId="2" borderId="2" xfId="0" applyNumberFormat="1" applyFont="1" applyFill="1" applyBorder="1" applyAlignment="1">
      <alignment horizontal="right" vertical="top"/>
    </xf>
    <xf numFmtId="49" fontId="4" fillId="2" borderId="2" xfId="0" applyNumberFormat="1" applyFont="1" applyFill="1" applyBorder="1" applyAlignment="1">
      <alignment horizontal="center" vertical="top" wrapText="1"/>
    </xf>
    <xf numFmtId="164" fontId="26" fillId="2" borderId="2" xfId="1" applyNumberFormat="1" applyFont="1" applyFill="1" applyBorder="1" applyAlignment="1">
      <alignment horizontal="center" vertical="top" wrapText="1"/>
    </xf>
    <xf numFmtId="3" fontId="4" fillId="2" borderId="2" xfId="0" applyNumberFormat="1" applyFont="1" applyFill="1" applyBorder="1" applyAlignment="1">
      <alignment horizontal="center" vertical="top"/>
    </xf>
    <xf numFmtId="3" fontId="4" fillId="2" borderId="2" xfId="0" applyNumberFormat="1" applyFont="1" applyFill="1" applyBorder="1" applyAlignment="1">
      <alignment horizontal="center" vertical="top" wrapText="1"/>
    </xf>
    <xf numFmtId="164" fontId="4" fillId="2" borderId="2" xfId="0" applyNumberFormat="1" applyFont="1" applyFill="1" applyBorder="1" applyAlignment="1">
      <alignment horizontal="center" vertical="top"/>
    </xf>
    <xf numFmtId="9" fontId="4" fillId="2" borderId="2" xfId="0" applyNumberFormat="1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/>
    </xf>
    <xf numFmtId="164" fontId="26" fillId="2" borderId="2" xfId="1" applyNumberFormat="1" applyFont="1" applyFill="1" applyBorder="1" applyAlignment="1">
      <alignment horizontal="center" vertical="top" wrapText="1"/>
    </xf>
    <xf numFmtId="164" fontId="11" fillId="2" borderId="0" xfId="0" applyNumberFormat="1" applyFont="1" applyFill="1" applyBorder="1" applyAlignment="1">
      <alignment horizontal="center" vertical="top" wrapText="1"/>
    </xf>
    <xf numFmtId="164" fontId="11" fillId="2" borderId="0" xfId="0" applyNumberFormat="1" applyFont="1" applyFill="1" applyBorder="1" applyAlignment="1">
      <alignment horizontal="right" vertical="top" wrapText="1"/>
    </xf>
    <xf numFmtId="164" fontId="0" fillId="2" borderId="0" xfId="0" applyNumberFormat="1" applyFill="1"/>
    <xf numFmtId="164" fontId="0" fillId="2" borderId="0" xfId="0" applyNumberFormat="1" applyFill="1" applyAlignment="1">
      <alignment horizontal="right"/>
    </xf>
    <xf numFmtId="0" fontId="2" fillId="2" borderId="0" xfId="0" applyFont="1" applyFill="1" applyBorder="1" applyAlignment="1">
      <alignment horizontal="center" vertical="top"/>
    </xf>
    <xf numFmtId="0" fontId="27" fillId="2" borderId="2" xfId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49" fontId="4" fillId="2" borderId="2" xfId="0" applyNumberFormat="1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top" wrapText="1"/>
    </xf>
    <xf numFmtId="164" fontId="10" fillId="2" borderId="1" xfId="0" applyNumberFormat="1" applyFont="1" applyFill="1" applyBorder="1" applyAlignment="1">
      <alignment horizontal="right" vertical="top"/>
    </xf>
    <xf numFmtId="164" fontId="10" fillId="2" borderId="5" xfId="0" applyNumberFormat="1" applyFont="1" applyFill="1" applyBorder="1" applyAlignment="1">
      <alignment horizontal="right" vertical="top"/>
    </xf>
    <xf numFmtId="0" fontId="4" fillId="2" borderId="1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164" fontId="4" fillId="2" borderId="2" xfId="0" applyNumberFormat="1" applyFont="1" applyFill="1" applyBorder="1" applyAlignment="1">
      <alignment horizontal="center" vertical="top" wrapText="1"/>
    </xf>
    <xf numFmtId="2" fontId="10" fillId="2" borderId="11" xfId="0" applyNumberFormat="1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3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165" fontId="4" fillId="2" borderId="1" xfId="0" applyNumberFormat="1" applyFont="1" applyFill="1" applyBorder="1" applyAlignment="1">
      <alignment horizontal="left" vertical="top" wrapText="1"/>
    </xf>
    <xf numFmtId="165" fontId="4" fillId="2" borderId="5" xfId="0" applyNumberFormat="1" applyFont="1" applyFill="1" applyBorder="1" applyAlignment="1">
      <alignment horizontal="left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49" fontId="4" fillId="2" borderId="5" xfId="0" applyNumberFormat="1" applyFont="1" applyFill="1" applyBorder="1" applyAlignment="1">
      <alignment horizontal="center" vertical="top" wrapText="1"/>
    </xf>
    <xf numFmtId="164" fontId="10" fillId="2" borderId="1" xfId="0" applyNumberFormat="1" applyFont="1" applyFill="1" applyBorder="1" applyAlignment="1">
      <alignment horizontal="center" vertical="top"/>
    </xf>
    <xf numFmtId="164" fontId="10" fillId="2" borderId="5" xfId="0" applyNumberFormat="1" applyFont="1" applyFill="1" applyBorder="1" applyAlignment="1">
      <alignment horizontal="center" vertical="top"/>
    </xf>
    <xf numFmtId="164" fontId="10" fillId="2" borderId="1" xfId="0" applyNumberFormat="1" applyFont="1" applyFill="1" applyBorder="1" applyAlignment="1">
      <alignment horizontal="center" vertical="top" wrapText="1"/>
    </xf>
    <xf numFmtId="164" fontId="10" fillId="2" borderId="5" xfId="0" applyNumberFormat="1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right"/>
    </xf>
    <xf numFmtId="164" fontId="10" fillId="2" borderId="1" xfId="0" applyNumberFormat="1" applyFont="1" applyFill="1" applyBorder="1" applyAlignment="1">
      <alignment horizontal="right" vertical="top" wrapText="1"/>
    </xf>
    <xf numFmtId="164" fontId="10" fillId="2" borderId="5" xfId="0" applyNumberFormat="1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left" vertical="top" wrapText="1"/>
    </xf>
    <xf numFmtId="4" fontId="4" fillId="2" borderId="5" xfId="0" applyNumberFormat="1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vertical="top" wrapText="1"/>
    </xf>
    <xf numFmtId="165" fontId="4" fillId="2" borderId="2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top" wrapText="1"/>
    </xf>
    <xf numFmtId="164" fontId="4" fillId="2" borderId="2" xfId="0" applyNumberFormat="1" applyFont="1" applyFill="1" applyBorder="1" applyAlignment="1">
      <alignment horizontal="left" vertical="top" wrapText="1"/>
    </xf>
    <xf numFmtId="164" fontId="42" fillId="2" borderId="2" xfId="0" applyNumberFormat="1" applyFont="1" applyFill="1" applyBorder="1" applyAlignment="1">
      <alignment horizontal="left" vertical="top" wrapText="1"/>
    </xf>
    <xf numFmtId="3" fontId="4" fillId="2" borderId="2" xfId="0" applyNumberFormat="1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/>
    </xf>
    <xf numFmtId="164" fontId="4" fillId="2" borderId="1" xfId="0" applyNumberFormat="1" applyFont="1" applyFill="1" applyBorder="1" applyAlignment="1">
      <alignment horizontal="left" vertical="top" wrapText="1"/>
    </xf>
    <xf numFmtId="164" fontId="4" fillId="2" borderId="5" xfId="0" applyNumberFormat="1" applyFont="1" applyFill="1" applyBorder="1" applyAlignment="1">
      <alignment horizontal="left" vertical="top" wrapText="1"/>
    </xf>
    <xf numFmtId="3" fontId="4" fillId="2" borderId="1" xfId="0" applyNumberFormat="1" applyFont="1" applyFill="1" applyBorder="1" applyAlignment="1">
      <alignment horizontal="center" vertical="top"/>
    </xf>
    <xf numFmtId="3" fontId="4" fillId="2" borderId="5" xfId="0" applyNumberFormat="1" applyFont="1" applyFill="1" applyBorder="1" applyAlignment="1">
      <alignment horizontal="center" vertical="top"/>
    </xf>
    <xf numFmtId="164" fontId="41" fillId="2" borderId="1" xfId="0" applyNumberFormat="1" applyFont="1" applyFill="1" applyBorder="1" applyAlignment="1">
      <alignment horizontal="left" vertical="top" wrapText="1"/>
    </xf>
    <xf numFmtId="164" fontId="41" fillId="2" borderId="5" xfId="0" applyNumberFormat="1" applyFont="1" applyFill="1" applyBorder="1" applyAlignment="1">
      <alignment horizontal="left" vertical="top" wrapText="1"/>
    </xf>
    <xf numFmtId="164" fontId="10" fillId="2" borderId="2" xfId="0" applyNumberFormat="1" applyFont="1" applyFill="1" applyBorder="1" applyAlignment="1">
      <alignment horizontal="center" vertical="top"/>
    </xf>
    <xf numFmtId="164" fontId="10" fillId="2" borderId="2" xfId="0" applyNumberFormat="1" applyFont="1" applyFill="1" applyBorder="1" applyAlignment="1">
      <alignment horizontal="right" vertical="top"/>
    </xf>
    <xf numFmtId="49" fontId="4" fillId="2" borderId="2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left" vertical="top"/>
    </xf>
    <xf numFmtId="0" fontId="4" fillId="2" borderId="1" xfId="0" applyNumberFormat="1" applyFont="1" applyFill="1" applyBorder="1" applyAlignment="1">
      <alignment horizontal="left" vertical="top" wrapText="1"/>
    </xf>
    <xf numFmtId="0" fontId="4" fillId="2" borderId="5" xfId="0" applyNumberFormat="1" applyFont="1" applyFill="1" applyBorder="1" applyAlignment="1">
      <alignment horizontal="left" vertical="top" wrapText="1"/>
    </xf>
    <xf numFmtId="49" fontId="4" fillId="2" borderId="7" xfId="0" applyNumberFormat="1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left" vertical="top" wrapText="1"/>
    </xf>
    <xf numFmtId="164" fontId="10" fillId="2" borderId="7" xfId="0" applyNumberFormat="1" applyFont="1" applyFill="1" applyBorder="1" applyAlignment="1">
      <alignment horizontal="right" vertical="top"/>
    </xf>
    <xf numFmtId="0" fontId="4" fillId="2" borderId="7" xfId="0" applyFont="1" applyFill="1" applyBorder="1" applyAlignment="1">
      <alignment horizontal="center" vertical="top"/>
    </xf>
    <xf numFmtId="164" fontId="10" fillId="2" borderId="7" xfId="0" applyNumberFormat="1" applyFont="1" applyFill="1" applyBorder="1" applyAlignment="1">
      <alignment horizontal="center" vertical="top"/>
    </xf>
    <xf numFmtId="0" fontId="4" fillId="2" borderId="7" xfId="0" applyFont="1" applyFill="1" applyBorder="1" applyAlignment="1">
      <alignment horizontal="center" vertical="top" wrapText="1"/>
    </xf>
    <xf numFmtId="3" fontId="4" fillId="2" borderId="7" xfId="0" applyNumberFormat="1" applyFont="1" applyFill="1" applyBorder="1" applyAlignment="1">
      <alignment horizontal="center" vertical="top"/>
    </xf>
    <xf numFmtId="3" fontId="4" fillId="2" borderId="1" xfId="0" applyNumberFormat="1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164" fontId="4" fillId="2" borderId="5" xfId="0" applyNumberFormat="1" applyFont="1" applyFill="1" applyBorder="1" applyAlignment="1">
      <alignment horizontal="center" vertical="top" wrapText="1"/>
    </xf>
    <xf numFmtId="0" fontId="34" fillId="2" borderId="0" xfId="0" applyFont="1" applyFill="1" applyAlignment="1">
      <alignment horizontal="left"/>
    </xf>
    <xf numFmtId="0" fontId="34" fillId="2" borderId="1" xfId="0" applyFont="1" applyFill="1" applyBorder="1" applyAlignment="1">
      <alignment horizontal="center" vertical="center" wrapText="1"/>
    </xf>
    <xf numFmtId="0" fontId="3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top"/>
    </xf>
    <xf numFmtId="164" fontId="10" fillId="2" borderId="1" xfId="0" applyNumberFormat="1" applyFont="1" applyFill="1" applyBorder="1" applyAlignment="1">
      <alignment horizontal="center" vertical="center"/>
    </xf>
    <xf numFmtId="164" fontId="10" fillId="2" borderId="5" xfId="0" applyNumberFormat="1" applyFont="1" applyFill="1" applyBorder="1" applyAlignment="1">
      <alignment horizontal="center" vertical="center"/>
    </xf>
    <xf numFmtId="0" fontId="40" fillId="2" borderId="0" xfId="0" applyFont="1" applyFill="1" applyAlignment="1">
      <alignment horizontal="left"/>
    </xf>
    <xf numFmtId="49" fontId="17" fillId="2" borderId="0" xfId="0" applyNumberFormat="1" applyFont="1" applyFill="1" applyAlignment="1">
      <alignment horizontal="left" vertical="top" wrapText="1"/>
    </xf>
    <xf numFmtId="164" fontId="13" fillId="2" borderId="0" xfId="0" applyNumberFormat="1" applyFont="1" applyFill="1" applyAlignment="1">
      <alignment horizontal="right" wrapText="1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center"/>
    </xf>
    <xf numFmtId="49" fontId="13" fillId="2" borderId="0" xfId="0" applyNumberFormat="1" applyFont="1" applyFill="1" applyAlignment="1">
      <alignment horizontal="left" wrapText="1"/>
    </xf>
    <xf numFmtId="0" fontId="18" fillId="2" borderId="2" xfId="0" applyFont="1" applyFill="1" applyBorder="1" applyAlignment="1">
      <alignment horizontal="center" vertical="top" wrapText="1"/>
    </xf>
    <xf numFmtId="49" fontId="17" fillId="2" borderId="8" xfId="0" applyNumberFormat="1" applyFont="1" applyFill="1" applyBorder="1" applyAlignment="1">
      <alignment horizontal="left" vertical="top" wrapText="1"/>
    </xf>
    <xf numFmtId="0" fontId="13" fillId="2" borderId="0" xfId="0" applyFont="1" applyFill="1" applyAlignment="1">
      <alignment horizontal="center"/>
    </xf>
    <xf numFmtId="0" fontId="15" fillId="2" borderId="2" xfId="0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center" vertical="top"/>
    </xf>
    <xf numFmtId="164" fontId="26" fillId="2" borderId="2" xfId="1" applyNumberFormat="1" applyFont="1" applyFill="1" applyBorder="1" applyAlignment="1">
      <alignment horizontal="center" vertical="top" wrapText="1"/>
    </xf>
    <xf numFmtId="164" fontId="26" fillId="2" borderId="1" xfId="1" applyNumberFormat="1" applyFont="1" applyFill="1" applyBorder="1" applyAlignment="1">
      <alignment horizontal="center" vertical="top" wrapText="1"/>
    </xf>
    <xf numFmtId="164" fontId="26" fillId="2" borderId="5" xfId="1" applyNumberFormat="1" applyFont="1" applyFill="1" applyBorder="1" applyAlignment="1">
      <alignment horizontal="center" vertical="top" wrapText="1"/>
    </xf>
    <xf numFmtId="0" fontId="24" fillId="2" borderId="1" xfId="1" applyFont="1" applyFill="1" applyBorder="1" applyAlignment="1">
      <alignment horizontal="left" vertical="top" wrapText="1"/>
    </xf>
    <xf numFmtId="0" fontId="24" fillId="2" borderId="5" xfId="1" applyFont="1" applyFill="1" applyBorder="1" applyAlignment="1">
      <alignment horizontal="left" vertical="top" wrapText="1"/>
    </xf>
    <xf numFmtId="14" fontId="26" fillId="2" borderId="1" xfId="1" applyNumberFormat="1" applyFont="1" applyFill="1" applyBorder="1" applyAlignment="1">
      <alignment horizontal="center" vertical="top" wrapText="1"/>
    </xf>
    <xf numFmtId="14" fontId="26" fillId="2" borderId="7" xfId="1" applyNumberFormat="1" applyFont="1" applyFill="1" applyBorder="1" applyAlignment="1">
      <alignment horizontal="center" vertical="top" wrapText="1"/>
    </xf>
    <xf numFmtId="14" fontId="26" fillId="2" borderId="5" xfId="1" applyNumberFormat="1" applyFont="1" applyFill="1" applyBorder="1" applyAlignment="1">
      <alignment horizontal="center" vertical="top" wrapText="1"/>
    </xf>
    <xf numFmtId="49" fontId="24" fillId="2" borderId="1" xfId="1" applyNumberFormat="1" applyFont="1" applyFill="1" applyBorder="1" applyAlignment="1">
      <alignment horizontal="center" vertical="top" wrapText="1"/>
    </xf>
    <xf numFmtId="49" fontId="24" fillId="2" borderId="7" xfId="1" applyNumberFormat="1" applyFont="1" applyFill="1" applyBorder="1" applyAlignment="1">
      <alignment horizontal="center" vertical="top" wrapText="1"/>
    </xf>
    <xf numFmtId="49" fontId="24" fillId="2" borderId="5" xfId="1" applyNumberFormat="1" applyFont="1" applyFill="1" applyBorder="1" applyAlignment="1">
      <alignment horizontal="center" vertical="top" wrapText="1"/>
    </xf>
    <xf numFmtId="0" fontId="24" fillId="2" borderId="7" xfId="1" applyFont="1" applyFill="1" applyBorder="1" applyAlignment="1">
      <alignment horizontal="left" vertical="top" wrapText="1"/>
    </xf>
    <xf numFmtId="164" fontId="24" fillId="2" borderId="1" xfId="1" applyNumberFormat="1" applyFont="1" applyFill="1" applyBorder="1" applyAlignment="1">
      <alignment horizontal="center" vertical="top" wrapText="1"/>
    </xf>
    <xf numFmtId="164" fontId="24" fillId="2" borderId="7" xfId="1" applyNumberFormat="1" applyFont="1" applyFill="1" applyBorder="1" applyAlignment="1">
      <alignment horizontal="center" vertical="top" wrapText="1"/>
    </xf>
    <xf numFmtId="164" fontId="24" fillId="2" borderId="5" xfId="1" applyNumberFormat="1" applyFont="1" applyFill="1" applyBorder="1" applyAlignment="1">
      <alignment horizontal="center" vertical="top" wrapText="1"/>
    </xf>
    <xf numFmtId="164" fontId="24" fillId="2" borderId="1" xfId="1" applyNumberFormat="1" applyFont="1" applyFill="1" applyBorder="1" applyAlignment="1">
      <alignment horizontal="left" vertical="top" wrapText="1"/>
    </xf>
    <xf numFmtId="164" fontId="24" fillId="2" borderId="7" xfId="1" applyNumberFormat="1" applyFont="1" applyFill="1" applyBorder="1" applyAlignment="1">
      <alignment horizontal="left" vertical="top" wrapText="1"/>
    </xf>
    <xf numFmtId="164" fontId="24" fillId="2" borderId="5" xfId="1" applyNumberFormat="1" applyFont="1" applyFill="1" applyBorder="1" applyAlignment="1">
      <alignment horizontal="left" vertical="top" wrapText="1"/>
    </xf>
    <xf numFmtId="0" fontId="24" fillId="2" borderId="2" xfId="1" applyFont="1" applyFill="1" applyBorder="1" applyAlignment="1">
      <alignment horizontal="left" vertical="top" wrapText="1"/>
    </xf>
    <xf numFmtId="14" fontId="26" fillId="2" borderId="2" xfId="1" applyNumberFormat="1" applyFont="1" applyFill="1" applyBorder="1" applyAlignment="1">
      <alignment horizontal="center" vertical="top" wrapText="1"/>
    </xf>
    <xf numFmtId="49" fontId="24" fillId="2" borderId="2" xfId="1" applyNumberFormat="1" applyFont="1" applyFill="1" applyBorder="1" applyAlignment="1">
      <alignment horizontal="center" vertical="top" wrapText="1"/>
    </xf>
    <xf numFmtId="0" fontId="24" fillId="2" borderId="2" xfId="1" applyFont="1" applyFill="1" applyBorder="1" applyAlignment="1">
      <alignment horizontal="center" vertical="top" wrapText="1"/>
    </xf>
    <xf numFmtId="0" fontId="27" fillId="2" borderId="12" xfId="1" applyFont="1" applyFill="1" applyBorder="1" applyAlignment="1">
      <alignment horizontal="left" vertical="top" wrapText="1"/>
    </xf>
    <xf numFmtId="0" fontId="27" fillId="2" borderId="10" xfId="1" applyFont="1" applyFill="1" applyBorder="1" applyAlignment="1">
      <alignment horizontal="left" vertical="top" wrapText="1"/>
    </xf>
    <xf numFmtId="0" fontId="27" fillId="2" borderId="9" xfId="1" applyFont="1" applyFill="1" applyBorder="1" applyAlignment="1">
      <alignment horizontal="left" vertical="top" wrapText="1"/>
    </xf>
    <xf numFmtId="0" fontId="27" fillId="2" borderId="13" xfId="1" applyFont="1" applyFill="1" applyBorder="1" applyAlignment="1">
      <alignment horizontal="left" vertical="top" wrapText="1"/>
    </xf>
    <xf numFmtId="49" fontId="24" fillId="2" borderId="8" xfId="1" applyNumberFormat="1" applyFont="1" applyFill="1" applyBorder="1" applyAlignment="1">
      <alignment horizontal="left" vertical="top" wrapText="1"/>
    </xf>
    <xf numFmtId="49" fontId="24" fillId="3" borderId="8" xfId="1" applyNumberFormat="1" applyFont="1" applyFill="1" applyBorder="1" applyAlignment="1">
      <alignment horizontal="left" vertical="top" wrapText="1"/>
    </xf>
    <xf numFmtId="49" fontId="11" fillId="2" borderId="0" xfId="1" applyNumberFormat="1" applyFont="1" applyFill="1" applyBorder="1" applyAlignment="1">
      <alignment horizontal="left" wrapText="1"/>
    </xf>
    <xf numFmtId="164" fontId="26" fillId="2" borderId="7" xfId="1" applyNumberFormat="1" applyFont="1" applyFill="1" applyBorder="1" applyAlignment="1">
      <alignment horizontal="center" vertical="top" wrapText="1"/>
    </xf>
    <xf numFmtId="0" fontId="24" fillId="2" borderId="1" xfId="1" applyFont="1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164" fontId="28" fillId="2" borderId="1" xfId="1" applyNumberFormat="1" applyFont="1" applyFill="1" applyBorder="1" applyAlignment="1">
      <alignment horizontal="center" vertical="top" wrapText="1"/>
    </xf>
    <xf numFmtId="164" fontId="28" fillId="2" borderId="5" xfId="1" applyNumberFormat="1" applyFont="1" applyFill="1" applyBorder="1" applyAlignment="1">
      <alignment horizontal="center" vertical="top" wrapText="1"/>
    </xf>
    <xf numFmtId="0" fontId="24" fillId="2" borderId="1" xfId="1" applyFont="1" applyFill="1" applyBorder="1" applyAlignment="1">
      <alignment horizontal="center" vertical="top" wrapText="1"/>
    </xf>
    <xf numFmtId="0" fontId="24" fillId="2" borderId="5" xfId="1" applyFont="1" applyFill="1" applyBorder="1" applyAlignment="1">
      <alignment horizontal="center" vertical="top" wrapText="1"/>
    </xf>
    <xf numFmtId="49" fontId="24" fillId="2" borderId="5" xfId="1" applyNumberFormat="1" applyFont="1" applyFill="1" applyBorder="1" applyAlignment="1">
      <alignment vertical="top" wrapText="1"/>
    </xf>
    <xf numFmtId="164" fontId="26" fillId="2" borderId="12" xfId="1" applyNumberFormat="1" applyFont="1" applyFill="1" applyBorder="1" applyAlignment="1">
      <alignment horizontal="center" vertical="top" wrapText="1"/>
    </xf>
    <xf numFmtId="164" fontId="26" fillId="2" borderId="11" xfId="1" applyNumberFormat="1" applyFont="1" applyFill="1" applyBorder="1" applyAlignment="1">
      <alignment horizontal="center" vertical="top" wrapText="1"/>
    </xf>
    <xf numFmtId="0" fontId="28" fillId="2" borderId="2" xfId="1" applyFont="1" applyFill="1" applyBorder="1" applyAlignment="1">
      <alignment horizontal="left" vertical="top" wrapText="1"/>
    </xf>
    <xf numFmtId="0" fontId="26" fillId="2" borderId="1" xfId="1" applyFont="1" applyFill="1" applyBorder="1" applyAlignment="1">
      <alignment horizontal="center" vertical="top" wrapText="1"/>
    </xf>
    <xf numFmtId="0" fontId="26" fillId="2" borderId="5" xfId="1" applyFont="1" applyFill="1" applyBorder="1" applyAlignment="1">
      <alignment horizontal="center" vertical="top" wrapText="1"/>
    </xf>
    <xf numFmtId="164" fontId="47" fillId="2" borderId="1" xfId="1" applyNumberFormat="1" applyFont="1" applyFill="1" applyBorder="1" applyAlignment="1">
      <alignment horizontal="center" vertical="top" wrapText="1"/>
    </xf>
    <xf numFmtId="164" fontId="47" fillId="2" borderId="7" xfId="1" applyNumberFormat="1" applyFont="1" applyFill="1" applyBorder="1" applyAlignment="1">
      <alignment horizontal="center" vertical="top" wrapText="1"/>
    </xf>
    <xf numFmtId="0" fontId="48" fillId="2" borderId="1" xfId="1" applyFont="1" applyFill="1" applyBorder="1" applyAlignment="1">
      <alignment horizontal="left" vertical="top" wrapText="1"/>
    </xf>
    <xf numFmtId="0" fontId="48" fillId="2" borderId="7" xfId="1" applyFont="1" applyFill="1" applyBorder="1" applyAlignment="1">
      <alignment horizontal="left" vertical="top" wrapText="1"/>
    </xf>
    <xf numFmtId="4" fontId="26" fillId="2" borderId="1" xfId="1" applyNumberFormat="1" applyFont="1" applyFill="1" applyBorder="1" applyAlignment="1">
      <alignment horizontal="center" vertical="top" wrapText="1"/>
    </xf>
    <xf numFmtId="4" fontId="26" fillId="2" borderId="7" xfId="1" applyNumberFormat="1" applyFont="1" applyFill="1" applyBorder="1" applyAlignment="1">
      <alignment horizontal="center" vertical="top" wrapText="1"/>
    </xf>
    <xf numFmtId="4" fontId="26" fillId="2" borderId="5" xfId="1" applyNumberFormat="1" applyFont="1" applyFill="1" applyBorder="1" applyAlignment="1">
      <alignment horizontal="center" vertical="top" wrapText="1"/>
    </xf>
    <xf numFmtId="49" fontId="48" fillId="2" borderId="7" xfId="1" applyNumberFormat="1" applyFont="1" applyFill="1" applyBorder="1" applyAlignment="1">
      <alignment horizontal="center" vertical="top" wrapText="1"/>
    </xf>
    <xf numFmtId="49" fontId="48" fillId="2" borderId="5" xfId="1" applyNumberFormat="1" applyFont="1" applyFill="1" applyBorder="1" applyAlignment="1">
      <alignment horizontal="center" vertical="top" wrapText="1"/>
    </xf>
    <xf numFmtId="0" fontId="33" fillId="2" borderId="0" xfId="0" applyFont="1" applyFill="1" applyAlignment="1">
      <alignment horizontal="left"/>
    </xf>
    <xf numFmtId="0" fontId="24" fillId="2" borderId="7" xfId="1" applyFont="1" applyFill="1" applyBorder="1" applyAlignment="1">
      <alignment horizontal="center" vertical="top" wrapText="1"/>
    </xf>
    <xf numFmtId="164" fontId="24" fillId="2" borderId="2" xfId="1" applyNumberFormat="1" applyFont="1" applyFill="1" applyBorder="1" applyAlignment="1">
      <alignment horizontal="center" vertical="center" wrapText="1"/>
    </xf>
    <xf numFmtId="164" fontId="24" fillId="2" borderId="2" xfId="1" applyNumberFormat="1" applyFont="1" applyFill="1" applyBorder="1" applyAlignment="1">
      <alignment horizontal="center" vertical="center"/>
    </xf>
    <xf numFmtId="0" fontId="24" fillId="2" borderId="2" xfId="2" applyFont="1" applyFill="1" applyBorder="1" applyAlignment="1" applyProtection="1">
      <alignment horizontal="center" vertical="top" wrapText="1"/>
    </xf>
    <xf numFmtId="164" fontId="24" fillId="2" borderId="2" xfId="2" applyNumberFormat="1" applyFont="1" applyFill="1" applyBorder="1" applyAlignment="1" applyProtection="1">
      <alignment horizontal="center" vertical="top" wrapText="1"/>
    </xf>
    <xf numFmtId="164" fontId="24" fillId="3" borderId="2" xfId="2" applyNumberFormat="1" applyFont="1" applyFill="1" applyBorder="1" applyAlignment="1" applyProtection="1">
      <alignment horizontal="center" vertical="top" wrapText="1"/>
    </xf>
    <xf numFmtId="0" fontId="28" fillId="2" borderId="12" xfId="1" applyFont="1" applyFill="1" applyBorder="1" applyAlignment="1">
      <alignment horizontal="left" vertical="top" wrapText="1"/>
    </xf>
    <xf numFmtId="0" fontId="28" fillId="2" borderId="10" xfId="1" applyFont="1" applyFill="1" applyBorder="1" applyAlignment="1">
      <alignment horizontal="left" vertical="top" wrapText="1"/>
    </xf>
    <xf numFmtId="0" fontId="28" fillId="2" borderId="3" xfId="1" applyFont="1" applyFill="1" applyBorder="1" applyAlignment="1">
      <alignment horizontal="left" vertical="top" wrapText="1"/>
    </xf>
    <xf numFmtId="49" fontId="24" fillId="2" borderId="1" xfId="1" applyNumberFormat="1" applyFont="1" applyFill="1" applyBorder="1" applyAlignment="1">
      <alignment horizontal="center" vertical="top"/>
    </xf>
    <xf numFmtId="49" fontId="24" fillId="2" borderId="5" xfId="1" applyNumberFormat="1" applyFont="1" applyFill="1" applyBorder="1" applyAlignment="1">
      <alignment horizontal="center" vertical="top"/>
    </xf>
    <xf numFmtId="49" fontId="24" fillId="2" borderId="7" xfId="1" applyNumberFormat="1" applyFont="1" applyFill="1" applyBorder="1" applyAlignment="1">
      <alignment horizontal="left" vertical="top" wrapText="1"/>
    </xf>
    <xf numFmtId="49" fontId="24" fillId="2" borderId="5" xfId="1" applyNumberFormat="1" applyFont="1" applyFill="1" applyBorder="1" applyAlignment="1">
      <alignment horizontal="left" vertical="top" wrapText="1"/>
    </xf>
    <xf numFmtId="0" fontId="0" fillId="2" borderId="5" xfId="0" applyFill="1" applyBorder="1" applyAlignment="1">
      <alignment horizontal="center" vertical="top" wrapText="1"/>
    </xf>
    <xf numFmtId="164" fontId="26" fillId="2" borderId="9" xfId="1" applyNumberFormat="1" applyFont="1" applyFill="1" applyBorder="1" applyAlignment="1">
      <alignment vertical="top" wrapText="1"/>
    </xf>
    <xf numFmtId="164" fontId="24" fillId="2" borderId="0" xfId="1" applyNumberFormat="1" applyFont="1" applyFill="1" applyBorder="1" applyAlignment="1">
      <alignment horizontal="center"/>
    </xf>
    <xf numFmtId="49" fontId="24" fillId="2" borderId="0" xfId="1" applyNumberFormat="1" applyFont="1" applyFill="1" applyBorder="1" applyAlignment="1">
      <alignment horizontal="center"/>
    </xf>
    <xf numFmtId="49" fontId="24" fillId="3" borderId="0" xfId="1" applyNumberFormat="1" applyFont="1" applyFill="1" applyBorder="1" applyAlignment="1">
      <alignment horizontal="center"/>
    </xf>
    <xf numFmtId="49" fontId="24" fillId="2" borderId="0" xfId="1" applyNumberFormat="1" applyFont="1" applyFill="1" applyBorder="1" applyAlignment="1">
      <alignment horizontal="center" wrapText="1"/>
    </xf>
    <xf numFmtId="0" fontId="24" fillId="2" borderId="1" xfId="2" applyFont="1" applyFill="1" applyBorder="1" applyAlignment="1" applyProtection="1">
      <alignment horizontal="center" vertical="top" wrapText="1"/>
    </xf>
    <xf numFmtId="0" fontId="24" fillId="2" borderId="7" xfId="2" applyFont="1" applyFill="1" applyBorder="1" applyAlignment="1" applyProtection="1">
      <alignment horizontal="center" vertical="top" wrapText="1"/>
    </xf>
    <xf numFmtId="0" fontId="24" fillId="2" borderId="5" xfId="2" applyFont="1" applyFill="1" applyBorder="1" applyAlignment="1" applyProtection="1">
      <alignment horizontal="center" vertical="top" wrapText="1"/>
    </xf>
    <xf numFmtId="164" fontId="26" fillId="2" borderId="1" xfId="1" applyNumberFormat="1" applyFont="1" applyFill="1" applyBorder="1" applyAlignment="1">
      <alignment horizontal="center" vertical="center"/>
    </xf>
    <xf numFmtId="164" fontId="26" fillId="2" borderId="5" xfId="1" applyNumberFormat="1" applyFont="1" applyFill="1" applyBorder="1" applyAlignment="1">
      <alignment horizontal="center" vertical="center"/>
    </xf>
    <xf numFmtId="164" fontId="26" fillId="2" borderId="1" xfId="1" applyNumberFormat="1" applyFont="1" applyFill="1" applyBorder="1" applyAlignment="1">
      <alignment horizontal="center" vertical="top"/>
    </xf>
    <xf numFmtId="164" fontId="26" fillId="2" borderId="5" xfId="1" applyNumberFormat="1" applyFont="1" applyFill="1" applyBorder="1" applyAlignment="1">
      <alignment horizontal="center" vertical="top"/>
    </xf>
    <xf numFmtId="164" fontId="43" fillId="2" borderId="1" xfId="1" applyNumberFormat="1" applyFont="1" applyFill="1" applyBorder="1" applyAlignment="1">
      <alignment horizontal="center" vertical="center"/>
    </xf>
    <xf numFmtId="164" fontId="43" fillId="2" borderId="5" xfId="1" applyNumberFormat="1" applyFont="1" applyFill="1" applyBorder="1" applyAlignment="1">
      <alignment horizontal="center" vertical="center"/>
    </xf>
    <xf numFmtId="164" fontId="26" fillId="2" borderId="7" xfId="1" applyNumberFormat="1" applyFont="1" applyFill="1" applyBorder="1" applyAlignment="1">
      <alignment horizontal="center" vertical="center"/>
    </xf>
    <xf numFmtId="164" fontId="10" fillId="4" borderId="2" xfId="0" applyNumberFormat="1" applyFont="1" applyFill="1" applyBorder="1" applyAlignment="1">
      <alignment horizontal="right" vertical="top" wrapText="1"/>
    </xf>
  </cellXfs>
  <cellStyles count="4">
    <cellStyle name="Гиперссылка" xfId="2" builtinId="8"/>
    <cellStyle name="Обычный" xfId="0" builtinId="0"/>
    <cellStyle name="Обычный 2" xfId="1"/>
    <cellStyle name="Обычный 2 2" xfId="3"/>
  </cellStyles>
  <dxfs count="0"/>
  <tableStyles count="0" defaultTableStyle="TableStyleMedium2" defaultPivotStyle="PivotStyleMedium9"/>
  <colors>
    <mruColors>
      <color rgb="FFFF333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consultantplus://offline/ref=296E051552D9B0DE54C4EEA366783458DCF3E2F270B1C5BE0EE0B1036681A6753D4434517D8E791EF555ABSAVC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94"/>
  <sheetViews>
    <sheetView tabSelected="1" view="pageBreakPreview" topLeftCell="A108" zoomScale="25" zoomScaleNormal="40" zoomScaleSheetLayoutView="25" workbookViewId="0">
      <pane xSplit="1" topLeftCell="C1" activePane="topRight" state="frozen"/>
      <selection activeCell="A7" sqref="A7"/>
      <selection pane="topRight" activeCell="K112" sqref="K112"/>
    </sheetView>
  </sheetViews>
  <sheetFormatPr defaultColWidth="9.140625" defaultRowHeight="46.5" x14ac:dyDescent="0.25"/>
  <cols>
    <col min="1" max="1" width="27.140625" style="273" customWidth="1"/>
    <col min="2" max="2" width="81.140625" style="101" customWidth="1"/>
    <col min="3" max="3" width="43.85546875" style="101" customWidth="1"/>
    <col min="4" max="4" width="46" style="111" customWidth="1"/>
    <col min="5" max="5" width="43.140625" style="111" customWidth="1"/>
    <col min="6" max="6" width="16.85546875" style="99" customWidth="1"/>
    <col min="7" max="7" width="13.140625" style="99" customWidth="1"/>
    <col min="8" max="8" width="16" style="99" customWidth="1"/>
    <col min="9" max="9" width="45.5703125" style="111" customWidth="1"/>
    <col min="10" max="10" width="13.85546875" style="99" customWidth="1"/>
    <col min="11" max="11" width="49.85546875" style="111" customWidth="1"/>
    <col min="12" max="12" width="15.5703125" style="99" customWidth="1"/>
    <col min="13" max="13" width="21.7109375" style="99" customWidth="1"/>
    <col min="14" max="14" width="42.85546875" style="291" customWidth="1"/>
    <col min="15" max="15" width="15.28515625" style="291" customWidth="1"/>
    <col min="16" max="16" width="46.7109375" style="292" customWidth="1"/>
    <col min="17" max="17" width="14.85546875" style="99" customWidth="1"/>
    <col min="18" max="18" width="14.5703125" style="99" customWidth="1"/>
    <col min="19" max="19" width="14.140625" style="99" customWidth="1"/>
    <col min="20" max="20" width="48.7109375" style="111" customWidth="1"/>
    <col min="21" max="21" width="59.7109375" style="99" customWidth="1"/>
    <col min="22" max="22" width="12.42578125" style="99" customWidth="1"/>
    <col min="23" max="23" width="25.28515625" style="270" customWidth="1"/>
    <col min="24" max="24" width="32.5703125" style="273" customWidth="1"/>
    <col min="25" max="25" width="23.5703125" style="273" customWidth="1"/>
    <col min="26" max="26" width="35.5703125" style="273" customWidth="1"/>
    <col min="27" max="27" width="82.28515625" style="101" customWidth="1"/>
    <col min="28" max="28" width="26.42578125" style="158" customWidth="1"/>
    <col min="29" max="29" width="30.85546875" style="151" customWidth="1"/>
    <col min="30" max="30" width="37.140625" style="152" customWidth="1"/>
    <col min="31" max="31" width="61.7109375" style="152" customWidth="1"/>
    <col min="32" max="32" width="57.140625" style="151" customWidth="1"/>
    <col min="33" max="33" width="91" style="99" customWidth="1"/>
    <col min="34" max="34" width="42" style="99" customWidth="1"/>
    <col min="35" max="44" width="9.140625" style="99"/>
    <col min="45" max="45" width="53.85546875" style="99" bestFit="1" customWidth="1"/>
    <col min="46" max="16384" width="9.140625" style="99"/>
  </cols>
  <sheetData>
    <row r="1" spans="1:34" ht="61.5" x14ac:dyDescent="0.25">
      <c r="A1" s="321" t="s">
        <v>0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321"/>
      <c r="AB1" s="147"/>
      <c r="AC1" s="147"/>
    </row>
    <row r="2" spans="1:34" ht="61.5" x14ac:dyDescent="0.25">
      <c r="A2" s="321" t="s">
        <v>1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147"/>
      <c r="AC2" s="147"/>
    </row>
    <row r="3" spans="1:34" ht="61.5" x14ac:dyDescent="0.25">
      <c r="A3" s="321" t="s">
        <v>2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321"/>
      <c r="W3" s="321"/>
      <c r="X3" s="321"/>
      <c r="Y3" s="321"/>
      <c r="Z3" s="321"/>
      <c r="AA3" s="321"/>
      <c r="AB3" s="147"/>
      <c r="AC3" s="147"/>
    </row>
    <row r="4" spans="1:34" ht="61.5" x14ac:dyDescent="0.25">
      <c r="A4" s="321" t="s">
        <v>3</v>
      </c>
      <c r="B4" s="321"/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1"/>
      <c r="U4" s="321"/>
      <c r="V4" s="321"/>
      <c r="W4" s="321"/>
      <c r="X4" s="321"/>
      <c r="Y4" s="321"/>
      <c r="Z4" s="321"/>
      <c r="AA4" s="321"/>
      <c r="AB4" s="147"/>
      <c r="AC4" s="147"/>
    </row>
    <row r="5" spans="1:34" ht="61.5" x14ac:dyDescent="0.25">
      <c r="A5" s="321" t="s">
        <v>403</v>
      </c>
      <c r="B5" s="321"/>
      <c r="C5" s="321"/>
      <c r="D5" s="321"/>
      <c r="E5" s="321"/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321"/>
      <c r="Y5" s="321"/>
      <c r="Z5" s="321"/>
      <c r="AA5" s="321"/>
      <c r="AB5" s="156"/>
      <c r="AC5" s="147"/>
    </row>
    <row r="6" spans="1:34" ht="45.75" x14ac:dyDescent="0.25">
      <c r="A6" s="1"/>
      <c r="B6" s="2"/>
      <c r="C6" s="4"/>
      <c r="D6" s="105"/>
      <c r="E6" s="105"/>
      <c r="F6" s="3"/>
      <c r="G6" s="3"/>
      <c r="H6" s="3"/>
      <c r="I6" s="105"/>
      <c r="J6" s="3"/>
      <c r="K6" s="105"/>
      <c r="L6" s="3"/>
      <c r="M6" s="3"/>
      <c r="N6" s="3"/>
      <c r="O6" s="3"/>
      <c r="P6" s="105"/>
      <c r="Q6" s="3"/>
      <c r="R6" s="3"/>
      <c r="S6" s="3"/>
      <c r="T6" s="105"/>
      <c r="U6" s="4"/>
      <c r="V6" s="1"/>
      <c r="W6" s="1"/>
      <c r="X6" s="287"/>
      <c r="Y6" s="287"/>
      <c r="Z6" s="1"/>
      <c r="AA6" s="4"/>
      <c r="AB6" s="147"/>
      <c r="AC6" s="147"/>
    </row>
    <row r="7" spans="1:34" ht="86.25" customHeight="1" x14ac:dyDescent="0.25">
      <c r="A7" s="324" t="s">
        <v>4</v>
      </c>
      <c r="B7" s="326" t="s">
        <v>5</v>
      </c>
      <c r="C7" s="326" t="s">
        <v>6</v>
      </c>
      <c r="D7" s="302" t="s">
        <v>232</v>
      </c>
      <c r="E7" s="302"/>
      <c r="F7" s="302"/>
      <c r="G7" s="302"/>
      <c r="H7" s="302"/>
      <c r="I7" s="302" t="s">
        <v>7</v>
      </c>
      <c r="J7" s="302"/>
      <c r="K7" s="302"/>
      <c r="L7" s="302"/>
      <c r="M7" s="302"/>
      <c r="N7" s="302" t="s">
        <v>8</v>
      </c>
      <c r="O7" s="302"/>
      <c r="P7" s="302"/>
      <c r="Q7" s="302"/>
      <c r="R7" s="302"/>
      <c r="S7" s="302"/>
      <c r="T7" s="302" t="s">
        <v>230</v>
      </c>
      <c r="U7" s="324" t="s">
        <v>231</v>
      </c>
      <c r="V7" s="325" t="s">
        <v>9</v>
      </c>
      <c r="W7" s="325"/>
      <c r="X7" s="325"/>
      <c r="Y7" s="325"/>
      <c r="Z7" s="324" t="s">
        <v>10</v>
      </c>
      <c r="AA7" s="326" t="s">
        <v>11</v>
      </c>
      <c r="AB7" s="148"/>
      <c r="AC7" s="147"/>
    </row>
    <row r="8" spans="1:34" ht="282" x14ac:dyDescent="0.25">
      <c r="A8" s="324"/>
      <c r="B8" s="326"/>
      <c r="C8" s="326"/>
      <c r="D8" s="302"/>
      <c r="E8" s="302"/>
      <c r="F8" s="302"/>
      <c r="G8" s="302"/>
      <c r="H8" s="302"/>
      <c r="I8" s="302" t="s">
        <v>12</v>
      </c>
      <c r="J8" s="302"/>
      <c r="K8" s="302"/>
      <c r="L8" s="302"/>
      <c r="M8" s="274" t="s">
        <v>13</v>
      </c>
      <c r="N8" s="302"/>
      <c r="O8" s="302"/>
      <c r="P8" s="302"/>
      <c r="Q8" s="302"/>
      <c r="R8" s="302"/>
      <c r="S8" s="302"/>
      <c r="T8" s="302"/>
      <c r="U8" s="324"/>
      <c r="V8" s="325"/>
      <c r="W8" s="325"/>
      <c r="X8" s="325"/>
      <c r="Y8" s="325"/>
      <c r="Z8" s="324"/>
      <c r="AA8" s="326"/>
      <c r="AB8" s="148"/>
      <c r="AC8" s="147"/>
    </row>
    <row r="9" spans="1:34" ht="327" customHeight="1" x14ac:dyDescent="0.25">
      <c r="A9" s="324"/>
      <c r="B9" s="326"/>
      <c r="C9" s="326"/>
      <c r="D9" s="106" t="s">
        <v>14</v>
      </c>
      <c r="E9" s="106" t="s">
        <v>15</v>
      </c>
      <c r="F9" s="6" t="s">
        <v>16</v>
      </c>
      <c r="G9" s="5" t="s">
        <v>17</v>
      </c>
      <c r="H9" s="5" t="s">
        <v>18</v>
      </c>
      <c r="I9" s="106" t="s">
        <v>14</v>
      </c>
      <c r="J9" s="6" t="s">
        <v>14</v>
      </c>
      <c r="K9" s="106" t="s">
        <v>15</v>
      </c>
      <c r="L9" s="6" t="s">
        <v>15</v>
      </c>
      <c r="M9" s="5" t="s">
        <v>17</v>
      </c>
      <c r="N9" s="5" t="s">
        <v>14</v>
      </c>
      <c r="O9" s="6" t="s">
        <v>14</v>
      </c>
      <c r="P9" s="106" t="s">
        <v>15</v>
      </c>
      <c r="Q9" s="6" t="s">
        <v>15</v>
      </c>
      <c r="R9" s="5" t="s">
        <v>17</v>
      </c>
      <c r="S9" s="5" t="s">
        <v>18</v>
      </c>
      <c r="T9" s="302"/>
      <c r="U9" s="324"/>
      <c r="V9" s="7" t="s">
        <v>19</v>
      </c>
      <c r="W9" s="7" t="s">
        <v>20</v>
      </c>
      <c r="X9" s="7" t="s">
        <v>21</v>
      </c>
      <c r="Y9" s="7" t="s">
        <v>22</v>
      </c>
      <c r="Z9" s="324"/>
      <c r="AA9" s="326"/>
      <c r="AB9" s="148"/>
      <c r="AC9" s="148"/>
      <c r="AD9" s="154" t="s">
        <v>375</v>
      </c>
      <c r="AE9" s="154" t="s">
        <v>376</v>
      </c>
      <c r="AF9" s="155"/>
    </row>
    <row r="10" spans="1:34" ht="60.75" x14ac:dyDescent="0.25">
      <c r="A10" s="8">
        <v>1</v>
      </c>
      <c r="B10" s="100">
        <v>2</v>
      </c>
      <c r="C10" s="100">
        <v>3</v>
      </c>
      <c r="D10" s="107">
        <v>4</v>
      </c>
      <c r="E10" s="107">
        <v>5</v>
      </c>
      <c r="F10" s="8">
        <v>6</v>
      </c>
      <c r="G10" s="8">
        <v>7</v>
      </c>
      <c r="H10" s="8">
        <v>8</v>
      </c>
      <c r="I10" s="107">
        <v>9</v>
      </c>
      <c r="J10" s="8">
        <v>10</v>
      </c>
      <c r="K10" s="107">
        <v>11</v>
      </c>
      <c r="L10" s="8">
        <v>12</v>
      </c>
      <c r="M10" s="8">
        <v>13</v>
      </c>
      <c r="N10" s="283">
        <v>14</v>
      </c>
      <c r="O10" s="283">
        <v>15</v>
      </c>
      <c r="P10" s="120">
        <v>16</v>
      </c>
      <c r="Q10" s="8">
        <v>17</v>
      </c>
      <c r="R10" s="8">
        <v>18</v>
      </c>
      <c r="S10" s="8">
        <v>19</v>
      </c>
      <c r="T10" s="107">
        <v>20</v>
      </c>
      <c r="U10" s="8">
        <v>21</v>
      </c>
      <c r="V10" s="8">
        <v>22</v>
      </c>
      <c r="W10" s="8">
        <v>23</v>
      </c>
      <c r="X10" s="8">
        <v>24</v>
      </c>
      <c r="Y10" s="8">
        <v>25</v>
      </c>
      <c r="Z10" s="8">
        <v>26</v>
      </c>
      <c r="AA10" s="100">
        <v>27</v>
      </c>
      <c r="AB10" s="149"/>
      <c r="AC10" s="149"/>
      <c r="AD10" s="146"/>
      <c r="AE10" s="146"/>
      <c r="AF10" s="146"/>
    </row>
    <row r="11" spans="1:34" ht="103.5" x14ac:dyDescent="0.25">
      <c r="A11" s="9"/>
      <c r="B11" s="10" t="s">
        <v>23</v>
      </c>
      <c r="C11" s="103"/>
      <c r="D11" s="108">
        <f>D13+D15+D65+D85</f>
        <v>28734218.100000001</v>
      </c>
      <c r="E11" s="108">
        <f>E13+E15+E65+E85</f>
        <v>44765414.700000003</v>
      </c>
      <c r="F11" s="11">
        <f>F12+F15+F65+F85</f>
        <v>0</v>
      </c>
      <c r="G11" s="11">
        <f>G12+G15+G65+G85</f>
        <v>0</v>
      </c>
      <c r="H11" s="11">
        <f>H12+H15+H65+H85</f>
        <v>0</v>
      </c>
      <c r="I11" s="108">
        <f>I12+I15+I65+I85</f>
        <v>29495783.299999997</v>
      </c>
      <c r="J11" s="11">
        <f>J12+J15+J65+J85</f>
        <v>0</v>
      </c>
      <c r="K11" s="108">
        <f>K13+K15+K65+K85</f>
        <v>44765414.600000001</v>
      </c>
      <c r="L11" s="11">
        <f>L12+L15+L65+L85</f>
        <v>0</v>
      </c>
      <c r="M11" s="11">
        <f>M12+M15+M65+M85</f>
        <v>0</v>
      </c>
      <c r="N11" s="11">
        <f>N12+N15+N65+N85</f>
        <v>21091792</v>
      </c>
      <c r="O11" s="11">
        <f>O12+O15+O65+O85</f>
        <v>0</v>
      </c>
      <c r="P11" s="108">
        <f>P13+P15+P65+P85</f>
        <v>31507714.300000004</v>
      </c>
      <c r="Q11" s="11">
        <f>Q12+Q15+Q65+Q85</f>
        <v>0</v>
      </c>
      <c r="R11" s="11">
        <f>R12+R15+R65+R85</f>
        <v>0</v>
      </c>
      <c r="S11" s="11">
        <f>S12+S15+S65+S85</f>
        <v>0</v>
      </c>
      <c r="T11" s="108">
        <f>T13+T15+T65+T85</f>
        <v>2151049.7000000002</v>
      </c>
      <c r="U11" s="15" t="s">
        <v>24</v>
      </c>
      <c r="V11" s="306" t="s">
        <v>24</v>
      </c>
      <c r="W11" s="306" t="s">
        <v>24</v>
      </c>
      <c r="X11" s="306" t="s">
        <v>24</v>
      </c>
      <c r="Y11" s="306" t="s">
        <v>24</v>
      </c>
      <c r="Z11" s="306" t="s">
        <v>24</v>
      </c>
      <c r="AA11" s="357" t="s">
        <v>24</v>
      </c>
      <c r="AB11" s="147"/>
      <c r="AC11" s="144"/>
      <c r="AD11" s="153">
        <f t="shared" ref="AD11:AE11" si="0">AD13+AD15+AD65+AD85</f>
        <v>566133.9</v>
      </c>
      <c r="AE11" s="153">
        <f t="shared" si="0"/>
        <v>0</v>
      </c>
      <c r="AF11" s="145"/>
    </row>
    <row r="12" spans="1:34" ht="160.5" customHeight="1" x14ac:dyDescent="0.25">
      <c r="A12" s="278"/>
      <c r="B12" s="10" t="s">
        <v>25</v>
      </c>
      <c r="C12" s="104"/>
      <c r="D12" s="280"/>
      <c r="E12" s="280"/>
      <c r="F12" s="279"/>
      <c r="G12" s="279"/>
      <c r="H12" s="279"/>
      <c r="I12" s="280"/>
      <c r="J12" s="279"/>
      <c r="K12" s="280"/>
      <c r="L12" s="279"/>
      <c r="M12" s="279"/>
      <c r="N12" s="279"/>
      <c r="O12" s="279"/>
      <c r="P12" s="280"/>
      <c r="Q12" s="279"/>
      <c r="R12" s="279"/>
      <c r="S12" s="279"/>
      <c r="T12" s="280"/>
      <c r="U12" s="278"/>
      <c r="V12" s="307"/>
      <c r="W12" s="307"/>
      <c r="X12" s="307"/>
      <c r="Y12" s="307"/>
      <c r="Z12" s="307"/>
      <c r="AA12" s="341"/>
      <c r="AB12" s="147"/>
      <c r="AC12" s="150"/>
      <c r="AD12" s="145"/>
      <c r="AE12" s="145"/>
      <c r="AF12" s="145"/>
    </row>
    <row r="13" spans="1:34" ht="408" customHeight="1" x14ac:dyDescent="0.25">
      <c r="A13" s="306" t="s">
        <v>26</v>
      </c>
      <c r="B13" s="300" t="s">
        <v>373</v>
      </c>
      <c r="C13" s="308" t="s">
        <v>27</v>
      </c>
      <c r="D13" s="298">
        <v>0</v>
      </c>
      <c r="E13" s="317">
        <v>982462.8</v>
      </c>
      <c r="F13" s="312">
        <v>0</v>
      </c>
      <c r="G13" s="312">
        <v>0</v>
      </c>
      <c r="H13" s="312">
        <v>0</v>
      </c>
      <c r="I13" s="298">
        <v>0</v>
      </c>
      <c r="J13" s="312">
        <v>0</v>
      </c>
      <c r="K13" s="298">
        <v>982462.8</v>
      </c>
      <c r="L13" s="312">
        <v>0</v>
      </c>
      <c r="M13" s="312">
        <v>0</v>
      </c>
      <c r="N13" s="312">
        <v>0</v>
      </c>
      <c r="O13" s="312">
        <v>0</v>
      </c>
      <c r="P13" s="298">
        <v>804263.1</v>
      </c>
      <c r="Q13" s="312">
        <v>0</v>
      </c>
      <c r="R13" s="312">
        <v>0</v>
      </c>
      <c r="S13" s="312">
        <v>0</v>
      </c>
      <c r="T13" s="298">
        <v>58538.2</v>
      </c>
      <c r="U13" s="322"/>
      <c r="V13" s="306" t="s">
        <v>24</v>
      </c>
      <c r="W13" s="306" t="s">
        <v>24</v>
      </c>
      <c r="X13" s="306" t="s">
        <v>24</v>
      </c>
      <c r="Y13" s="306" t="s">
        <v>24</v>
      </c>
      <c r="Z13" s="306" t="s">
        <v>24</v>
      </c>
      <c r="AA13" s="340" t="s">
        <v>24</v>
      </c>
      <c r="AB13" s="147"/>
      <c r="AC13" s="150"/>
      <c r="AD13" s="358">
        <v>566133.9</v>
      </c>
      <c r="AE13" s="145"/>
      <c r="AF13" s="145"/>
    </row>
    <row r="14" spans="1:34" ht="219" hidden="1" customHeight="1" x14ac:dyDescent="0.25">
      <c r="A14" s="307"/>
      <c r="B14" s="301"/>
      <c r="C14" s="309"/>
      <c r="D14" s="299"/>
      <c r="E14" s="318"/>
      <c r="F14" s="313"/>
      <c r="G14" s="313"/>
      <c r="H14" s="313"/>
      <c r="I14" s="299"/>
      <c r="J14" s="313"/>
      <c r="K14" s="299"/>
      <c r="L14" s="313"/>
      <c r="M14" s="313"/>
      <c r="N14" s="313"/>
      <c r="O14" s="313"/>
      <c r="P14" s="299"/>
      <c r="Q14" s="313"/>
      <c r="R14" s="313"/>
      <c r="S14" s="313"/>
      <c r="T14" s="299"/>
      <c r="U14" s="323"/>
      <c r="V14" s="307"/>
      <c r="W14" s="307"/>
      <c r="X14" s="307"/>
      <c r="Y14" s="307"/>
      <c r="Z14" s="307"/>
      <c r="AA14" s="341"/>
      <c r="AB14" s="147"/>
      <c r="AC14" s="150">
        <f>P14-K14</f>
        <v>0</v>
      </c>
      <c r="AD14" s="359"/>
      <c r="AE14" s="145"/>
      <c r="AF14" s="145"/>
    </row>
    <row r="15" spans="1:34" ht="172.5" x14ac:dyDescent="0.6">
      <c r="A15" s="14" t="s">
        <v>28</v>
      </c>
      <c r="B15" s="10" t="s">
        <v>29</v>
      </c>
      <c r="C15" s="103"/>
      <c r="D15" s="108">
        <f>SUM(D16:D64)</f>
        <v>5302918.4000000004</v>
      </c>
      <c r="E15" s="108">
        <f>SUM(E16:E41)+SUM(E43:E64)</f>
        <v>11794935.600000001</v>
      </c>
      <c r="F15" s="108">
        <f t="shared" ref="F15:S15" si="1">SUM(F16:F64)</f>
        <v>0</v>
      </c>
      <c r="G15" s="108">
        <f t="shared" si="1"/>
        <v>0</v>
      </c>
      <c r="H15" s="108">
        <f t="shared" si="1"/>
        <v>0</v>
      </c>
      <c r="I15" s="108">
        <f t="shared" si="1"/>
        <v>5302918.4000000004</v>
      </c>
      <c r="J15" s="108">
        <f t="shared" si="1"/>
        <v>0</v>
      </c>
      <c r="K15" s="108">
        <f>SUM(K16:K41)+SUM(K43:K64)</f>
        <v>11794935.600000001</v>
      </c>
      <c r="L15" s="108">
        <f t="shared" si="1"/>
        <v>0</v>
      </c>
      <c r="M15" s="108">
        <f t="shared" si="1"/>
        <v>0</v>
      </c>
      <c r="N15" s="108">
        <f>SUM(N16:N64)</f>
        <v>3285570.7999999993</v>
      </c>
      <c r="O15" s="108">
        <f t="shared" si="1"/>
        <v>0</v>
      </c>
      <c r="P15" s="108">
        <f>SUM(P16:P41)+SUM(P43:P64)</f>
        <v>8082425.6000000006</v>
      </c>
      <c r="Q15" s="108">
        <f t="shared" si="1"/>
        <v>0</v>
      </c>
      <c r="R15" s="108">
        <f t="shared" si="1"/>
        <v>0</v>
      </c>
      <c r="S15" s="108">
        <f t="shared" si="1"/>
        <v>0</v>
      </c>
      <c r="T15" s="108">
        <f>SUM(T16:T64)</f>
        <v>90223.499999999985</v>
      </c>
      <c r="U15" s="15" t="s">
        <v>24</v>
      </c>
      <c r="V15" s="15" t="s">
        <v>24</v>
      </c>
      <c r="W15" s="269" t="s">
        <v>24</v>
      </c>
      <c r="X15" s="15" t="s">
        <v>24</v>
      </c>
      <c r="Y15" s="15" t="s">
        <v>24</v>
      </c>
      <c r="Z15" s="15" t="s">
        <v>24</v>
      </c>
      <c r="AA15" s="16" t="s">
        <v>24</v>
      </c>
      <c r="AB15" s="157">
        <f>P15/K15*100</f>
        <v>68.52454200767319</v>
      </c>
      <c r="AC15" s="150"/>
      <c r="AD15" s="145"/>
      <c r="AE15" s="145"/>
      <c r="AF15" s="145"/>
      <c r="AH15" s="13"/>
    </row>
    <row r="16" spans="1:34" ht="402.75" customHeight="1" x14ac:dyDescent="0.25">
      <c r="A16" s="310" t="s">
        <v>26</v>
      </c>
      <c r="B16" s="300" t="s">
        <v>283</v>
      </c>
      <c r="C16" s="300" t="s">
        <v>27</v>
      </c>
      <c r="D16" s="298">
        <v>0</v>
      </c>
      <c r="E16" s="298">
        <v>396515.6</v>
      </c>
      <c r="F16" s="314">
        <v>0</v>
      </c>
      <c r="G16" s="312">
        <v>0</v>
      </c>
      <c r="H16" s="312">
        <v>0</v>
      </c>
      <c r="I16" s="298">
        <v>0</v>
      </c>
      <c r="J16" s="312">
        <v>0</v>
      </c>
      <c r="K16" s="298">
        <v>396515.6</v>
      </c>
      <c r="L16" s="312">
        <v>0</v>
      </c>
      <c r="M16" s="312">
        <v>0</v>
      </c>
      <c r="N16" s="312">
        <v>0</v>
      </c>
      <c r="O16" s="312">
        <v>0</v>
      </c>
      <c r="P16" s="298">
        <v>321845.09999999998</v>
      </c>
      <c r="Q16" s="312">
        <v>0</v>
      </c>
      <c r="R16" s="312">
        <v>0</v>
      </c>
      <c r="S16" s="312">
        <v>0</v>
      </c>
      <c r="T16" s="298">
        <v>2454.6999999999998</v>
      </c>
      <c r="U16" s="331"/>
      <c r="V16" s="306"/>
      <c r="W16" s="319" t="s">
        <v>30</v>
      </c>
      <c r="X16" s="333">
        <v>2089</v>
      </c>
      <c r="Y16" s="333">
        <v>2280</v>
      </c>
      <c r="Z16" s="319" t="s">
        <v>31</v>
      </c>
      <c r="AA16" s="331"/>
      <c r="AB16" s="157">
        <f t="shared" ref="AB16:AB79" si="2">P16/K16*100</f>
        <v>81.16833234304022</v>
      </c>
      <c r="AC16" s="150">
        <f>Y16/X16*100</f>
        <v>109.14313068453805</v>
      </c>
      <c r="AD16" s="298">
        <v>103354.1</v>
      </c>
      <c r="AE16" s="145"/>
      <c r="AF16" s="145"/>
    </row>
    <row r="17" spans="1:45" ht="120.75" hidden="1" customHeight="1" x14ac:dyDescent="0.25">
      <c r="A17" s="311"/>
      <c r="B17" s="301"/>
      <c r="C17" s="301"/>
      <c r="D17" s="299"/>
      <c r="E17" s="299"/>
      <c r="F17" s="315"/>
      <c r="G17" s="313"/>
      <c r="H17" s="313"/>
      <c r="I17" s="299"/>
      <c r="J17" s="313"/>
      <c r="K17" s="299"/>
      <c r="L17" s="313"/>
      <c r="M17" s="313"/>
      <c r="N17" s="313"/>
      <c r="O17" s="313"/>
      <c r="P17" s="299"/>
      <c r="Q17" s="313"/>
      <c r="R17" s="313"/>
      <c r="S17" s="313"/>
      <c r="T17" s="299"/>
      <c r="U17" s="332"/>
      <c r="V17" s="307"/>
      <c r="W17" s="320"/>
      <c r="X17" s="334"/>
      <c r="Y17" s="334"/>
      <c r="Z17" s="320"/>
      <c r="AA17" s="332"/>
      <c r="AB17" s="157" t="e">
        <f t="shared" si="2"/>
        <v>#DIV/0!</v>
      </c>
      <c r="AC17" s="150" t="e">
        <f t="shared" ref="AC17:AC80" si="3">Y17/X17*100</f>
        <v>#DIV/0!</v>
      </c>
      <c r="AD17" s="299"/>
      <c r="AE17" s="145"/>
      <c r="AF17" s="145"/>
    </row>
    <row r="18" spans="1:45" ht="404.25" customHeight="1" x14ac:dyDescent="0.25">
      <c r="A18" s="310" t="s">
        <v>32</v>
      </c>
      <c r="B18" s="300" t="s">
        <v>284</v>
      </c>
      <c r="C18" s="300" t="s">
        <v>27</v>
      </c>
      <c r="D18" s="298">
        <v>0</v>
      </c>
      <c r="E18" s="317">
        <v>4910.2</v>
      </c>
      <c r="F18" s="312">
        <v>0</v>
      </c>
      <c r="G18" s="312">
        <v>0</v>
      </c>
      <c r="H18" s="312">
        <v>0</v>
      </c>
      <c r="I18" s="298">
        <v>0</v>
      </c>
      <c r="J18" s="312">
        <v>0</v>
      </c>
      <c r="K18" s="298">
        <v>4910.2</v>
      </c>
      <c r="L18" s="312">
        <v>0</v>
      </c>
      <c r="M18" s="312">
        <v>0</v>
      </c>
      <c r="N18" s="312">
        <v>0</v>
      </c>
      <c r="O18" s="312">
        <v>0</v>
      </c>
      <c r="P18" s="298">
        <v>2661.4</v>
      </c>
      <c r="Q18" s="312">
        <v>0</v>
      </c>
      <c r="R18" s="312">
        <v>0</v>
      </c>
      <c r="S18" s="312">
        <v>0</v>
      </c>
      <c r="T18" s="298">
        <v>25.2</v>
      </c>
      <c r="U18" s="335"/>
      <c r="V18" s="306"/>
      <c r="W18" s="319" t="s">
        <v>30</v>
      </c>
      <c r="X18" s="306">
        <v>20</v>
      </c>
      <c r="Y18" s="306">
        <v>14</v>
      </c>
      <c r="Z18" s="319" t="s">
        <v>233</v>
      </c>
      <c r="AA18" s="331" t="s">
        <v>276</v>
      </c>
      <c r="AB18" s="157">
        <f t="shared" si="2"/>
        <v>54.201458189075801</v>
      </c>
      <c r="AC18" s="150">
        <f t="shared" si="3"/>
        <v>70</v>
      </c>
      <c r="AD18" s="298">
        <v>925.9</v>
      </c>
      <c r="AE18" s="145"/>
      <c r="AF18" s="145"/>
    </row>
    <row r="19" spans="1:45" ht="0.75" hidden="1" customHeight="1" x14ac:dyDescent="0.25">
      <c r="A19" s="311"/>
      <c r="B19" s="301"/>
      <c r="C19" s="301"/>
      <c r="D19" s="299"/>
      <c r="E19" s="318"/>
      <c r="F19" s="313"/>
      <c r="G19" s="313"/>
      <c r="H19" s="313"/>
      <c r="I19" s="299"/>
      <c r="J19" s="313"/>
      <c r="K19" s="299"/>
      <c r="L19" s="313"/>
      <c r="M19" s="313"/>
      <c r="N19" s="313"/>
      <c r="O19" s="313"/>
      <c r="P19" s="299"/>
      <c r="Q19" s="313"/>
      <c r="R19" s="313"/>
      <c r="S19" s="313"/>
      <c r="T19" s="299"/>
      <c r="U19" s="336"/>
      <c r="V19" s="307"/>
      <c r="W19" s="320"/>
      <c r="X19" s="307"/>
      <c r="Y19" s="307"/>
      <c r="Z19" s="320"/>
      <c r="AA19" s="332"/>
      <c r="AB19" s="157" t="e">
        <f t="shared" si="2"/>
        <v>#DIV/0!</v>
      </c>
      <c r="AC19" s="150" t="e">
        <f t="shared" si="3"/>
        <v>#DIV/0!</v>
      </c>
      <c r="AD19" s="299"/>
      <c r="AE19" s="145"/>
      <c r="AF19" s="145"/>
    </row>
    <row r="20" spans="1:45" ht="211.5" x14ac:dyDescent="0.25">
      <c r="A20" s="281" t="s">
        <v>33</v>
      </c>
      <c r="B20" s="276" t="s">
        <v>285</v>
      </c>
      <c r="C20" s="276" t="s">
        <v>27</v>
      </c>
      <c r="D20" s="280">
        <v>0</v>
      </c>
      <c r="E20" s="280">
        <v>24383.200000000001</v>
      </c>
      <c r="F20" s="279">
        <v>0</v>
      </c>
      <c r="G20" s="279">
        <v>0</v>
      </c>
      <c r="H20" s="279">
        <v>0</v>
      </c>
      <c r="I20" s="280">
        <v>0</v>
      </c>
      <c r="J20" s="279">
        <v>0</v>
      </c>
      <c r="K20" s="280">
        <v>24383.200000000001</v>
      </c>
      <c r="L20" s="279">
        <v>0</v>
      </c>
      <c r="M20" s="279">
        <v>0</v>
      </c>
      <c r="N20" s="279">
        <v>0</v>
      </c>
      <c r="O20" s="279">
        <v>0</v>
      </c>
      <c r="P20" s="280">
        <v>18072.8</v>
      </c>
      <c r="Q20" s="279">
        <v>0</v>
      </c>
      <c r="R20" s="279">
        <v>0</v>
      </c>
      <c r="S20" s="279">
        <v>0</v>
      </c>
      <c r="T20" s="280">
        <v>157.5</v>
      </c>
      <c r="U20" s="90"/>
      <c r="V20" s="17"/>
      <c r="W20" s="275" t="s">
        <v>30</v>
      </c>
      <c r="X20" s="278">
        <v>83</v>
      </c>
      <c r="Y20" s="278">
        <v>87</v>
      </c>
      <c r="Z20" s="275" t="s">
        <v>31</v>
      </c>
      <c r="AA20" s="277"/>
      <c r="AB20" s="157">
        <f t="shared" si="2"/>
        <v>74.119885823025683</v>
      </c>
      <c r="AC20" s="150">
        <f t="shared" si="3"/>
        <v>104.81927710843372</v>
      </c>
      <c r="AD20" s="280">
        <v>5829.1</v>
      </c>
      <c r="AE20" s="145"/>
      <c r="AF20" s="145"/>
    </row>
    <row r="21" spans="1:45" ht="401.25" customHeight="1" x14ac:dyDescent="0.25">
      <c r="A21" s="339" t="s">
        <v>34</v>
      </c>
      <c r="B21" s="326" t="s">
        <v>286</v>
      </c>
      <c r="C21" s="326" t="s">
        <v>27</v>
      </c>
      <c r="D21" s="338">
        <v>0</v>
      </c>
      <c r="E21" s="338">
        <v>19037.2</v>
      </c>
      <c r="F21" s="337">
        <v>0</v>
      </c>
      <c r="G21" s="337">
        <v>0</v>
      </c>
      <c r="H21" s="337">
        <v>0</v>
      </c>
      <c r="I21" s="338">
        <v>0</v>
      </c>
      <c r="J21" s="337">
        <v>0</v>
      </c>
      <c r="K21" s="338">
        <v>19037.2</v>
      </c>
      <c r="L21" s="337">
        <v>0</v>
      </c>
      <c r="M21" s="337">
        <v>0</v>
      </c>
      <c r="N21" s="337">
        <v>0</v>
      </c>
      <c r="O21" s="337">
        <v>0</v>
      </c>
      <c r="P21" s="338">
        <v>18963.400000000001</v>
      </c>
      <c r="Q21" s="337">
        <v>0</v>
      </c>
      <c r="R21" s="337">
        <v>0</v>
      </c>
      <c r="S21" s="337">
        <v>0</v>
      </c>
      <c r="T21" s="338">
        <v>276.89999999999998</v>
      </c>
      <c r="U21" s="327"/>
      <c r="V21" s="330"/>
      <c r="W21" s="324" t="s">
        <v>30</v>
      </c>
      <c r="X21" s="329">
        <v>9303</v>
      </c>
      <c r="Y21" s="329">
        <v>9388</v>
      </c>
      <c r="Z21" s="275" t="s">
        <v>31</v>
      </c>
      <c r="AA21" s="328"/>
      <c r="AB21" s="157">
        <f t="shared" si="2"/>
        <v>99.612337948858027</v>
      </c>
      <c r="AC21" s="150">
        <f t="shared" si="3"/>
        <v>100.91368375792756</v>
      </c>
      <c r="AD21" s="298">
        <v>13</v>
      </c>
      <c r="AE21" s="145"/>
      <c r="AF21" s="145"/>
    </row>
    <row r="22" spans="1:45" ht="161.25" hidden="1" customHeight="1" x14ac:dyDescent="0.25">
      <c r="A22" s="339"/>
      <c r="B22" s="326"/>
      <c r="C22" s="326"/>
      <c r="D22" s="338"/>
      <c r="E22" s="338"/>
      <c r="F22" s="337"/>
      <c r="G22" s="337"/>
      <c r="H22" s="337"/>
      <c r="I22" s="338"/>
      <c r="J22" s="337"/>
      <c r="K22" s="338"/>
      <c r="L22" s="337"/>
      <c r="M22" s="337"/>
      <c r="N22" s="337"/>
      <c r="O22" s="337"/>
      <c r="P22" s="338"/>
      <c r="Q22" s="337"/>
      <c r="R22" s="337"/>
      <c r="S22" s="337"/>
      <c r="T22" s="338"/>
      <c r="U22" s="327"/>
      <c r="V22" s="330"/>
      <c r="W22" s="324"/>
      <c r="X22" s="329"/>
      <c r="Y22" s="329"/>
      <c r="Z22" s="275" t="s">
        <v>233</v>
      </c>
      <c r="AA22" s="328"/>
      <c r="AB22" s="157" t="e">
        <f t="shared" si="2"/>
        <v>#DIV/0!</v>
      </c>
      <c r="AC22" s="150" t="e">
        <f t="shared" si="3"/>
        <v>#DIV/0!</v>
      </c>
      <c r="AD22" s="299"/>
      <c r="AE22" s="145"/>
      <c r="AF22" s="145"/>
    </row>
    <row r="23" spans="1:45" ht="384" customHeight="1" x14ac:dyDescent="0.25">
      <c r="A23" s="281" t="s">
        <v>35</v>
      </c>
      <c r="B23" s="276" t="s">
        <v>287</v>
      </c>
      <c r="C23" s="276" t="s">
        <v>27</v>
      </c>
      <c r="D23" s="280">
        <v>154663.79999999999</v>
      </c>
      <c r="E23" s="280">
        <v>0</v>
      </c>
      <c r="F23" s="279">
        <v>0</v>
      </c>
      <c r="G23" s="279">
        <v>0</v>
      </c>
      <c r="H23" s="279">
        <v>0</v>
      </c>
      <c r="I23" s="280">
        <v>154663.79999999999</v>
      </c>
      <c r="J23" s="279">
        <v>0</v>
      </c>
      <c r="K23" s="280">
        <v>0</v>
      </c>
      <c r="L23" s="279">
        <v>0</v>
      </c>
      <c r="M23" s="279">
        <v>0</v>
      </c>
      <c r="N23" s="279">
        <v>114458.5</v>
      </c>
      <c r="O23" s="279">
        <v>0</v>
      </c>
      <c r="P23" s="280">
        <v>0</v>
      </c>
      <c r="Q23" s="279">
        <v>0</v>
      </c>
      <c r="R23" s="279">
        <v>0</v>
      </c>
      <c r="S23" s="279">
        <v>0</v>
      </c>
      <c r="T23" s="280">
        <v>23.9</v>
      </c>
      <c r="U23" s="277"/>
      <c r="V23" s="278"/>
      <c r="W23" s="275" t="s">
        <v>30</v>
      </c>
      <c r="X23" s="283">
        <v>9054</v>
      </c>
      <c r="Y23" s="283">
        <v>8078</v>
      </c>
      <c r="Z23" s="275" t="s">
        <v>233</v>
      </c>
      <c r="AA23" s="277" t="s">
        <v>276</v>
      </c>
      <c r="AB23" s="157">
        <f>N23/I23*100</f>
        <v>74.004712156302901</v>
      </c>
      <c r="AC23" s="150">
        <f t="shared" si="3"/>
        <v>89.220234150651649</v>
      </c>
      <c r="AD23" s="279">
        <v>44501.5</v>
      </c>
      <c r="AE23" s="145"/>
      <c r="AF23" s="145"/>
    </row>
    <row r="24" spans="1:45" ht="282" x14ac:dyDescent="0.25">
      <c r="A24" s="275" t="s">
        <v>36</v>
      </c>
      <c r="B24" s="276" t="s">
        <v>288</v>
      </c>
      <c r="C24" s="276" t="s">
        <v>27</v>
      </c>
      <c r="D24" s="280">
        <v>211.3</v>
      </c>
      <c r="E24" s="109">
        <v>0</v>
      </c>
      <c r="F24" s="279">
        <v>0</v>
      </c>
      <c r="G24" s="279">
        <v>0</v>
      </c>
      <c r="H24" s="279">
        <v>0</v>
      </c>
      <c r="I24" s="280">
        <v>211.3</v>
      </c>
      <c r="J24" s="279">
        <v>0</v>
      </c>
      <c r="K24" s="280">
        <v>0</v>
      </c>
      <c r="L24" s="279">
        <v>0</v>
      </c>
      <c r="M24" s="279">
        <v>0</v>
      </c>
      <c r="N24" s="279">
        <v>104.1</v>
      </c>
      <c r="O24" s="279">
        <v>0</v>
      </c>
      <c r="P24" s="280">
        <v>0</v>
      </c>
      <c r="Q24" s="279">
        <v>0</v>
      </c>
      <c r="R24" s="279">
        <v>0</v>
      </c>
      <c r="S24" s="279">
        <v>0</v>
      </c>
      <c r="T24" s="280">
        <v>0</v>
      </c>
      <c r="U24" s="277"/>
      <c r="V24" s="278"/>
      <c r="W24" s="275" t="s">
        <v>30</v>
      </c>
      <c r="X24" s="278">
        <v>7</v>
      </c>
      <c r="Y24" s="278">
        <v>8</v>
      </c>
      <c r="Z24" s="275" t="s">
        <v>31</v>
      </c>
      <c r="AA24" s="271"/>
      <c r="AB24" s="157" t="e">
        <f t="shared" si="2"/>
        <v>#DIV/0!</v>
      </c>
      <c r="AC24" s="150">
        <f t="shared" si="3"/>
        <v>114.28571428571428</v>
      </c>
      <c r="AD24" s="279">
        <v>31.4</v>
      </c>
      <c r="AE24" s="145"/>
      <c r="AF24" s="145"/>
    </row>
    <row r="25" spans="1:45" ht="408.75" customHeight="1" x14ac:dyDescent="0.9">
      <c r="A25" s="319" t="s">
        <v>37</v>
      </c>
      <c r="B25" s="300" t="s">
        <v>289</v>
      </c>
      <c r="C25" s="300" t="s">
        <v>27</v>
      </c>
      <c r="D25" s="317">
        <v>0</v>
      </c>
      <c r="E25" s="317">
        <v>2664732.2000000002</v>
      </c>
      <c r="F25" s="312">
        <v>0</v>
      </c>
      <c r="G25" s="312">
        <v>0</v>
      </c>
      <c r="H25" s="312">
        <v>0</v>
      </c>
      <c r="I25" s="298">
        <v>0</v>
      </c>
      <c r="J25" s="312">
        <v>0</v>
      </c>
      <c r="K25" s="298">
        <v>2664732.2000000002</v>
      </c>
      <c r="L25" s="312">
        <v>0</v>
      </c>
      <c r="M25" s="312">
        <v>0</v>
      </c>
      <c r="N25" s="312">
        <v>0</v>
      </c>
      <c r="O25" s="312">
        <v>0</v>
      </c>
      <c r="P25" s="298">
        <v>1984535.1</v>
      </c>
      <c r="Q25" s="312">
        <v>0</v>
      </c>
      <c r="R25" s="312">
        <v>0</v>
      </c>
      <c r="S25" s="312">
        <v>0</v>
      </c>
      <c r="T25" s="298">
        <v>20231.900000000001</v>
      </c>
      <c r="U25" s="331"/>
      <c r="V25" s="306"/>
      <c r="W25" s="319" t="s">
        <v>30</v>
      </c>
      <c r="X25" s="351">
        <v>366942</v>
      </c>
      <c r="Y25" s="333">
        <v>375058</v>
      </c>
      <c r="Z25" s="319" t="s">
        <v>31</v>
      </c>
      <c r="AA25" s="331"/>
      <c r="AB25" s="157">
        <f>P25/K25*100</f>
        <v>74.474091617911924</v>
      </c>
      <c r="AC25" s="150">
        <f>Y25/X25*100</f>
        <v>102.21179368946591</v>
      </c>
      <c r="AD25" s="304">
        <v>640389</v>
      </c>
      <c r="AE25" s="304"/>
      <c r="AF25" s="304"/>
      <c r="AS25" s="159"/>
    </row>
    <row r="26" spans="1:45" ht="318.75" customHeight="1" x14ac:dyDescent="0.9">
      <c r="A26" s="320"/>
      <c r="B26" s="301"/>
      <c r="C26" s="301"/>
      <c r="D26" s="318"/>
      <c r="E26" s="318"/>
      <c r="F26" s="313"/>
      <c r="G26" s="313"/>
      <c r="H26" s="313"/>
      <c r="I26" s="299"/>
      <c r="J26" s="313"/>
      <c r="K26" s="299"/>
      <c r="L26" s="313"/>
      <c r="M26" s="313"/>
      <c r="N26" s="313"/>
      <c r="O26" s="313"/>
      <c r="P26" s="299"/>
      <c r="Q26" s="313"/>
      <c r="R26" s="313"/>
      <c r="S26" s="313"/>
      <c r="T26" s="299"/>
      <c r="U26" s="332"/>
      <c r="V26" s="307"/>
      <c r="W26" s="320"/>
      <c r="X26" s="334"/>
      <c r="Y26" s="334"/>
      <c r="Z26" s="320"/>
      <c r="AA26" s="332"/>
      <c r="AB26" s="157" t="e">
        <f t="shared" si="2"/>
        <v>#DIV/0!</v>
      </c>
      <c r="AC26" s="150"/>
      <c r="AD26" s="305"/>
      <c r="AE26" s="305"/>
      <c r="AF26" s="305"/>
      <c r="AH26" s="160">
        <f>K25-E25</f>
        <v>0</v>
      </c>
    </row>
    <row r="27" spans="1:45" ht="408.75" customHeight="1" x14ac:dyDescent="0.25">
      <c r="A27" s="281" t="s">
        <v>39</v>
      </c>
      <c r="B27" s="276" t="s">
        <v>290</v>
      </c>
      <c r="C27" s="276" t="s">
        <v>27</v>
      </c>
      <c r="D27" s="280">
        <v>0</v>
      </c>
      <c r="E27" s="109">
        <v>1509614.7</v>
      </c>
      <c r="F27" s="94">
        <v>0</v>
      </c>
      <c r="G27" s="93">
        <v>0</v>
      </c>
      <c r="H27" s="93">
        <v>0</v>
      </c>
      <c r="I27" s="280">
        <v>0</v>
      </c>
      <c r="J27" s="93">
        <v>0</v>
      </c>
      <c r="K27" s="109">
        <v>1509614.7</v>
      </c>
      <c r="L27" s="93">
        <v>0</v>
      </c>
      <c r="M27" s="93">
        <v>0</v>
      </c>
      <c r="N27" s="93">
        <v>0</v>
      </c>
      <c r="O27" s="93">
        <v>0</v>
      </c>
      <c r="P27" s="280">
        <v>1161930.6000000001</v>
      </c>
      <c r="Q27" s="93">
        <v>0</v>
      </c>
      <c r="R27" s="93">
        <v>0</v>
      </c>
      <c r="S27" s="93">
        <v>0</v>
      </c>
      <c r="T27" s="280">
        <v>14342</v>
      </c>
      <c r="U27" s="95"/>
      <c r="V27" s="17"/>
      <c r="W27" s="90" t="s">
        <v>40</v>
      </c>
      <c r="X27" s="283">
        <v>59000</v>
      </c>
      <c r="Y27" s="283">
        <v>60075</v>
      </c>
      <c r="Z27" s="275" t="s">
        <v>31</v>
      </c>
      <c r="AA27" s="277"/>
      <c r="AB27" s="157">
        <f t="shared" si="2"/>
        <v>76.968686115735366</v>
      </c>
      <c r="AC27" s="150">
        <f t="shared" si="3"/>
        <v>101.82203389830508</v>
      </c>
      <c r="AD27" s="280">
        <v>679673.2</v>
      </c>
      <c r="AE27" s="145"/>
      <c r="AF27" s="145"/>
    </row>
    <row r="28" spans="1:45" ht="408.75" customHeight="1" x14ac:dyDescent="0.25">
      <c r="A28" s="310" t="s">
        <v>41</v>
      </c>
      <c r="B28" s="300" t="s">
        <v>291</v>
      </c>
      <c r="C28" s="300" t="s">
        <v>27</v>
      </c>
      <c r="D28" s="298">
        <v>3792350.2</v>
      </c>
      <c r="E28" s="317">
        <v>0</v>
      </c>
      <c r="F28" s="314">
        <v>0</v>
      </c>
      <c r="G28" s="312">
        <v>0</v>
      </c>
      <c r="H28" s="312">
        <v>0</v>
      </c>
      <c r="I28" s="298">
        <v>3792350.2</v>
      </c>
      <c r="J28" s="312">
        <v>0</v>
      </c>
      <c r="K28" s="298">
        <v>0</v>
      </c>
      <c r="L28" s="312">
        <v>0</v>
      </c>
      <c r="M28" s="312">
        <v>0</v>
      </c>
      <c r="N28" s="312">
        <v>2392711.2999999998</v>
      </c>
      <c r="O28" s="312">
        <v>0</v>
      </c>
      <c r="P28" s="298">
        <v>0</v>
      </c>
      <c r="Q28" s="312">
        <v>0</v>
      </c>
      <c r="R28" s="312">
        <v>0</v>
      </c>
      <c r="S28" s="312">
        <v>0</v>
      </c>
      <c r="T28" s="298">
        <v>13894.4</v>
      </c>
      <c r="U28" s="331"/>
      <c r="V28" s="306"/>
      <c r="W28" s="319" t="s">
        <v>30</v>
      </c>
      <c r="X28" s="333">
        <v>474910</v>
      </c>
      <c r="Y28" s="333">
        <v>432582</v>
      </c>
      <c r="Z28" s="319" t="s">
        <v>233</v>
      </c>
      <c r="AA28" s="352" t="s">
        <v>276</v>
      </c>
      <c r="AB28" s="303" t="e">
        <f t="shared" si="2"/>
        <v>#DIV/0!</v>
      </c>
      <c r="AC28" s="150">
        <f t="shared" si="3"/>
        <v>91.087153355372593</v>
      </c>
      <c r="AD28" s="312">
        <v>1051194</v>
      </c>
      <c r="AE28" s="355"/>
      <c r="AF28" s="304"/>
    </row>
    <row r="29" spans="1:45" ht="171" customHeight="1" x14ac:dyDescent="0.25">
      <c r="A29" s="311"/>
      <c r="B29" s="301"/>
      <c r="C29" s="301"/>
      <c r="D29" s="299"/>
      <c r="E29" s="318"/>
      <c r="F29" s="315"/>
      <c r="G29" s="313"/>
      <c r="H29" s="313"/>
      <c r="I29" s="299"/>
      <c r="J29" s="313"/>
      <c r="K29" s="299"/>
      <c r="L29" s="313"/>
      <c r="M29" s="313"/>
      <c r="N29" s="313"/>
      <c r="O29" s="313"/>
      <c r="P29" s="299"/>
      <c r="Q29" s="313"/>
      <c r="R29" s="313"/>
      <c r="S29" s="313"/>
      <c r="T29" s="299"/>
      <c r="U29" s="332"/>
      <c r="V29" s="307"/>
      <c r="W29" s="320"/>
      <c r="X29" s="334"/>
      <c r="Y29" s="334"/>
      <c r="Z29" s="320"/>
      <c r="AA29" s="353"/>
      <c r="AB29" s="303"/>
      <c r="AC29" s="150"/>
      <c r="AD29" s="313"/>
      <c r="AE29" s="356"/>
      <c r="AF29" s="305"/>
    </row>
    <row r="30" spans="1:45" ht="408.75" customHeight="1" x14ac:dyDescent="0.25">
      <c r="A30" s="281" t="s">
        <v>42</v>
      </c>
      <c r="B30" s="276" t="s">
        <v>292</v>
      </c>
      <c r="C30" s="276" t="s">
        <v>27</v>
      </c>
      <c r="D30" s="280">
        <v>6020.1</v>
      </c>
      <c r="E30" s="109">
        <v>15802.6</v>
      </c>
      <c r="F30" s="94">
        <v>0</v>
      </c>
      <c r="G30" s="93">
        <v>0</v>
      </c>
      <c r="H30" s="93">
        <v>0</v>
      </c>
      <c r="I30" s="280">
        <v>6020.1</v>
      </c>
      <c r="J30" s="93">
        <v>0</v>
      </c>
      <c r="K30" s="280">
        <v>15802.6</v>
      </c>
      <c r="L30" s="93">
        <v>0</v>
      </c>
      <c r="M30" s="93">
        <v>0</v>
      </c>
      <c r="N30" s="93">
        <v>6017.6</v>
      </c>
      <c r="O30" s="93">
        <v>0</v>
      </c>
      <c r="P30" s="280">
        <v>11991.2</v>
      </c>
      <c r="Q30" s="93">
        <v>0</v>
      </c>
      <c r="R30" s="93">
        <v>0</v>
      </c>
      <c r="S30" s="93">
        <v>0</v>
      </c>
      <c r="T30" s="280">
        <f>165.6</f>
        <v>165.6</v>
      </c>
      <c r="U30" s="95"/>
      <c r="V30" s="17"/>
      <c r="W30" s="90" t="s">
        <v>30</v>
      </c>
      <c r="X30" s="283">
        <v>12000</v>
      </c>
      <c r="Y30" s="283">
        <v>13512</v>
      </c>
      <c r="Z30" s="275" t="s">
        <v>31</v>
      </c>
      <c r="AA30" s="277"/>
      <c r="AB30" s="157">
        <f t="shared" si="2"/>
        <v>75.881184108944097</v>
      </c>
      <c r="AC30" s="150">
        <f t="shared" si="3"/>
        <v>112.6</v>
      </c>
      <c r="AD30" s="145">
        <v>5779.7</v>
      </c>
      <c r="AE30" s="145"/>
      <c r="AF30" s="145"/>
    </row>
    <row r="31" spans="1:45" ht="408" customHeight="1" x14ac:dyDescent="0.25">
      <c r="A31" s="275" t="s">
        <v>43</v>
      </c>
      <c r="B31" s="276" t="s">
        <v>293</v>
      </c>
      <c r="C31" s="276" t="s">
        <v>27</v>
      </c>
      <c r="D31" s="280">
        <v>0</v>
      </c>
      <c r="E31" s="109">
        <v>4183290.1</v>
      </c>
      <c r="F31" s="94">
        <v>0</v>
      </c>
      <c r="G31" s="93">
        <v>0</v>
      </c>
      <c r="H31" s="93">
        <v>0</v>
      </c>
      <c r="I31" s="280">
        <v>0</v>
      </c>
      <c r="J31" s="93">
        <v>0</v>
      </c>
      <c r="K31" s="280">
        <v>4183290.1</v>
      </c>
      <c r="L31" s="93">
        <v>0</v>
      </c>
      <c r="M31" s="93">
        <v>0</v>
      </c>
      <c r="N31" s="93">
        <v>0</v>
      </c>
      <c r="O31" s="93">
        <v>0</v>
      </c>
      <c r="P31" s="280">
        <v>2658172.7999999998</v>
      </c>
      <c r="Q31" s="93">
        <v>0</v>
      </c>
      <c r="R31" s="93">
        <v>0</v>
      </c>
      <c r="S31" s="93">
        <v>0</v>
      </c>
      <c r="T31" s="280">
        <v>30120</v>
      </c>
      <c r="U31" s="90"/>
      <c r="V31" s="17"/>
      <c r="W31" s="90" t="s">
        <v>30</v>
      </c>
      <c r="X31" s="283">
        <v>330405</v>
      </c>
      <c r="Y31" s="283">
        <v>352846</v>
      </c>
      <c r="Z31" s="275" t="s">
        <v>31</v>
      </c>
      <c r="AA31" s="277"/>
      <c r="AB31" s="157">
        <f t="shared" si="2"/>
        <v>63.542635974492889</v>
      </c>
      <c r="AC31" s="150">
        <f t="shared" si="3"/>
        <v>106.79196743390686</v>
      </c>
      <c r="AD31" s="280">
        <v>1148429.037</v>
      </c>
      <c r="AE31" s="145"/>
      <c r="AF31" s="145"/>
    </row>
    <row r="32" spans="1:45" ht="408" customHeight="1" x14ac:dyDescent="0.25">
      <c r="A32" s="275" t="s">
        <v>91</v>
      </c>
      <c r="B32" s="276" t="s">
        <v>294</v>
      </c>
      <c r="C32" s="276" t="s">
        <v>27</v>
      </c>
      <c r="D32" s="280">
        <v>0</v>
      </c>
      <c r="E32" s="109">
        <v>50</v>
      </c>
      <c r="F32" s="94">
        <v>0</v>
      </c>
      <c r="G32" s="93">
        <v>0</v>
      </c>
      <c r="H32" s="93">
        <v>0</v>
      </c>
      <c r="I32" s="280">
        <v>0</v>
      </c>
      <c r="J32" s="93">
        <v>0</v>
      </c>
      <c r="K32" s="280">
        <v>50</v>
      </c>
      <c r="L32" s="93">
        <v>0</v>
      </c>
      <c r="M32" s="93">
        <v>0</v>
      </c>
      <c r="N32" s="93">
        <v>0</v>
      </c>
      <c r="O32" s="93">
        <v>0</v>
      </c>
      <c r="P32" s="280">
        <v>0</v>
      </c>
      <c r="Q32" s="93">
        <v>0</v>
      </c>
      <c r="R32" s="93">
        <v>0</v>
      </c>
      <c r="S32" s="93">
        <v>0</v>
      </c>
      <c r="T32" s="280">
        <v>0</v>
      </c>
      <c r="U32" s="90"/>
      <c r="V32" s="17"/>
      <c r="W32" s="90" t="s">
        <v>30</v>
      </c>
      <c r="X32" s="283">
        <v>200</v>
      </c>
      <c r="Y32" s="283">
        <v>0</v>
      </c>
      <c r="Z32" s="275" t="s">
        <v>233</v>
      </c>
      <c r="AA32" s="277" t="s">
        <v>448</v>
      </c>
      <c r="AB32" s="157">
        <f t="shared" si="2"/>
        <v>0</v>
      </c>
      <c r="AC32" s="150">
        <f t="shared" si="3"/>
        <v>0</v>
      </c>
      <c r="AD32" s="145">
        <v>0</v>
      </c>
      <c r="AE32" s="145"/>
      <c r="AF32" s="145"/>
    </row>
    <row r="33" spans="1:32" ht="409.6" customHeight="1" x14ac:dyDescent="0.25">
      <c r="A33" s="281" t="s">
        <v>45</v>
      </c>
      <c r="B33" s="276" t="s">
        <v>295</v>
      </c>
      <c r="C33" s="276" t="s">
        <v>27</v>
      </c>
      <c r="D33" s="280">
        <v>0</v>
      </c>
      <c r="E33" s="109">
        <v>5716.8</v>
      </c>
      <c r="F33" s="94">
        <v>0</v>
      </c>
      <c r="G33" s="93">
        <v>0</v>
      </c>
      <c r="H33" s="93">
        <v>0</v>
      </c>
      <c r="I33" s="280">
        <v>0</v>
      </c>
      <c r="J33" s="93">
        <v>0</v>
      </c>
      <c r="K33" s="280">
        <v>5716.8</v>
      </c>
      <c r="L33" s="93">
        <v>0</v>
      </c>
      <c r="M33" s="93">
        <v>0</v>
      </c>
      <c r="N33" s="93">
        <v>0</v>
      </c>
      <c r="O33" s="93">
        <v>0</v>
      </c>
      <c r="P33" s="280">
        <v>3906.2</v>
      </c>
      <c r="Q33" s="93">
        <v>0</v>
      </c>
      <c r="R33" s="93">
        <v>0</v>
      </c>
      <c r="S33" s="93">
        <v>0</v>
      </c>
      <c r="T33" s="280">
        <v>38.4</v>
      </c>
      <c r="U33" s="95"/>
      <c r="V33" s="17"/>
      <c r="W33" s="90" t="s">
        <v>30</v>
      </c>
      <c r="X33" s="278">
        <v>655</v>
      </c>
      <c r="Y33" s="278">
        <v>612</v>
      </c>
      <c r="Z33" s="275" t="s">
        <v>233</v>
      </c>
      <c r="AA33" s="277" t="s">
        <v>276</v>
      </c>
      <c r="AB33" s="157">
        <f t="shared" si="2"/>
        <v>68.328435488385111</v>
      </c>
      <c r="AC33" s="150">
        <f t="shared" si="3"/>
        <v>93.435114503816791</v>
      </c>
      <c r="AD33" s="280">
        <v>1312.4</v>
      </c>
      <c r="AE33" s="145"/>
      <c r="AF33" s="145"/>
    </row>
    <row r="34" spans="1:32" ht="408.75" customHeight="1" x14ac:dyDescent="0.25">
      <c r="A34" s="310" t="s">
        <v>46</v>
      </c>
      <c r="B34" s="300" t="s">
        <v>296</v>
      </c>
      <c r="C34" s="300" t="s">
        <v>27</v>
      </c>
      <c r="D34" s="298">
        <v>0</v>
      </c>
      <c r="E34" s="317">
        <v>12524.5</v>
      </c>
      <c r="F34" s="312">
        <v>0</v>
      </c>
      <c r="G34" s="312">
        <v>0</v>
      </c>
      <c r="H34" s="312">
        <v>0</v>
      </c>
      <c r="I34" s="298">
        <v>0</v>
      </c>
      <c r="J34" s="312">
        <v>0</v>
      </c>
      <c r="K34" s="298">
        <v>12524.5</v>
      </c>
      <c r="L34" s="312">
        <v>0</v>
      </c>
      <c r="M34" s="312">
        <v>0</v>
      </c>
      <c r="N34" s="312">
        <v>0</v>
      </c>
      <c r="O34" s="312">
        <v>0</v>
      </c>
      <c r="P34" s="298">
        <v>8208.5</v>
      </c>
      <c r="Q34" s="312">
        <v>0</v>
      </c>
      <c r="R34" s="312">
        <v>0</v>
      </c>
      <c r="S34" s="312">
        <v>0</v>
      </c>
      <c r="T34" s="298">
        <v>85.5</v>
      </c>
      <c r="U34" s="331"/>
      <c r="V34" s="306"/>
      <c r="W34" s="319" t="s">
        <v>30</v>
      </c>
      <c r="X34" s="333">
        <v>1435</v>
      </c>
      <c r="Y34" s="333">
        <v>1281</v>
      </c>
      <c r="Z34" s="319" t="s">
        <v>233</v>
      </c>
      <c r="AA34" s="331" t="s">
        <v>276</v>
      </c>
      <c r="AB34" s="157">
        <f t="shared" si="2"/>
        <v>65.53954249670646</v>
      </c>
      <c r="AC34" s="150">
        <f t="shared" si="3"/>
        <v>89.268292682926827</v>
      </c>
      <c r="AD34" s="304">
        <v>2773.1</v>
      </c>
      <c r="AE34" s="304"/>
      <c r="AF34" s="304"/>
    </row>
    <row r="35" spans="1:32" ht="352.5" customHeight="1" x14ac:dyDescent="0.25">
      <c r="A35" s="311"/>
      <c r="B35" s="301"/>
      <c r="C35" s="301"/>
      <c r="D35" s="299"/>
      <c r="E35" s="318"/>
      <c r="F35" s="313"/>
      <c r="G35" s="313"/>
      <c r="H35" s="313"/>
      <c r="I35" s="299"/>
      <c r="J35" s="313"/>
      <c r="K35" s="299"/>
      <c r="L35" s="313"/>
      <c r="M35" s="313"/>
      <c r="N35" s="313"/>
      <c r="O35" s="313"/>
      <c r="P35" s="299"/>
      <c r="Q35" s="313"/>
      <c r="R35" s="313"/>
      <c r="S35" s="313"/>
      <c r="T35" s="299"/>
      <c r="U35" s="332"/>
      <c r="V35" s="307"/>
      <c r="W35" s="320"/>
      <c r="X35" s="334"/>
      <c r="Y35" s="334"/>
      <c r="Z35" s="320"/>
      <c r="AA35" s="332"/>
      <c r="AB35" s="157" t="e">
        <f t="shared" si="2"/>
        <v>#DIV/0!</v>
      </c>
      <c r="AC35" s="150"/>
      <c r="AD35" s="305"/>
      <c r="AE35" s="305"/>
      <c r="AF35" s="305"/>
    </row>
    <row r="36" spans="1:32" ht="220.5" customHeight="1" x14ac:dyDescent="0.25">
      <c r="A36" s="281" t="s">
        <v>47</v>
      </c>
      <c r="B36" s="276" t="s">
        <v>297</v>
      </c>
      <c r="C36" s="276" t="s">
        <v>27</v>
      </c>
      <c r="D36" s="280">
        <v>0</v>
      </c>
      <c r="E36" s="109">
        <v>3681</v>
      </c>
      <c r="F36" s="279">
        <v>0</v>
      </c>
      <c r="G36" s="279">
        <v>0</v>
      </c>
      <c r="H36" s="279">
        <v>0</v>
      </c>
      <c r="I36" s="280">
        <v>0</v>
      </c>
      <c r="J36" s="279">
        <v>0</v>
      </c>
      <c r="K36" s="280">
        <v>3681</v>
      </c>
      <c r="L36" s="279">
        <v>0</v>
      </c>
      <c r="M36" s="279">
        <v>0</v>
      </c>
      <c r="N36" s="279">
        <v>0</v>
      </c>
      <c r="O36" s="279">
        <v>0</v>
      </c>
      <c r="P36" s="280">
        <v>1579.7</v>
      </c>
      <c r="Q36" s="279">
        <v>0</v>
      </c>
      <c r="R36" s="279">
        <v>0</v>
      </c>
      <c r="S36" s="279">
        <v>0</v>
      </c>
      <c r="T36" s="280">
        <v>12.7</v>
      </c>
      <c r="U36" s="277"/>
      <c r="V36" s="278"/>
      <c r="W36" s="275" t="s">
        <v>30</v>
      </c>
      <c r="X36" s="278">
        <v>392</v>
      </c>
      <c r="Y36" s="278">
        <v>333</v>
      </c>
      <c r="Z36" s="275" t="s">
        <v>233</v>
      </c>
      <c r="AA36" s="277" t="s">
        <v>432</v>
      </c>
      <c r="AB36" s="157">
        <f t="shared" si="2"/>
        <v>42.914968758489543</v>
      </c>
      <c r="AC36" s="150">
        <f t="shared" si="3"/>
        <v>84.948979591836732</v>
      </c>
      <c r="AD36" s="145">
        <v>391.7</v>
      </c>
      <c r="AE36" s="145"/>
      <c r="AF36" s="145"/>
    </row>
    <row r="37" spans="1:32" ht="408.75" customHeight="1" x14ac:dyDescent="0.25">
      <c r="A37" s="310" t="s">
        <v>49</v>
      </c>
      <c r="B37" s="300" t="s">
        <v>298</v>
      </c>
      <c r="C37" s="300" t="s">
        <v>27</v>
      </c>
      <c r="D37" s="298">
        <v>0</v>
      </c>
      <c r="E37" s="317">
        <v>54.9</v>
      </c>
      <c r="F37" s="312">
        <v>0</v>
      </c>
      <c r="G37" s="312">
        <v>0</v>
      </c>
      <c r="H37" s="312">
        <v>0</v>
      </c>
      <c r="I37" s="298">
        <v>0</v>
      </c>
      <c r="J37" s="312">
        <v>0</v>
      </c>
      <c r="K37" s="298">
        <v>54.9</v>
      </c>
      <c r="L37" s="312">
        <v>0</v>
      </c>
      <c r="M37" s="312">
        <v>0</v>
      </c>
      <c r="N37" s="312">
        <v>0</v>
      </c>
      <c r="O37" s="312">
        <v>0</v>
      </c>
      <c r="P37" s="298">
        <v>13.6</v>
      </c>
      <c r="Q37" s="312">
        <v>0</v>
      </c>
      <c r="R37" s="312">
        <v>0</v>
      </c>
      <c r="S37" s="312">
        <v>0</v>
      </c>
      <c r="T37" s="298">
        <v>0.2</v>
      </c>
      <c r="U37" s="331"/>
      <c r="V37" s="306"/>
      <c r="W37" s="319" t="s">
        <v>30</v>
      </c>
      <c r="X37" s="306">
        <v>31</v>
      </c>
      <c r="Y37" s="306">
        <v>16</v>
      </c>
      <c r="Z37" s="319" t="s">
        <v>233</v>
      </c>
      <c r="AA37" s="331" t="s">
        <v>276</v>
      </c>
      <c r="AB37" s="157">
        <f t="shared" si="2"/>
        <v>24.772313296903462</v>
      </c>
      <c r="AC37" s="150">
        <f t="shared" si="3"/>
        <v>51.612903225806448</v>
      </c>
      <c r="AD37" s="304">
        <v>6.6</v>
      </c>
      <c r="AE37" s="145"/>
      <c r="AF37" s="145"/>
    </row>
    <row r="38" spans="1:32" ht="50.25" customHeight="1" x14ac:dyDescent="0.25">
      <c r="A38" s="311"/>
      <c r="B38" s="301"/>
      <c r="C38" s="301"/>
      <c r="D38" s="299"/>
      <c r="E38" s="318"/>
      <c r="F38" s="313"/>
      <c r="G38" s="313"/>
      <c r="H38" s="313"/>
      <c r="I38" s="299"/>
      <c r="J38" s="313"/>
      <c r="K38" s="299"/>
      <c r="L38" s="313"/>
      <c r="M38" s="313"/>
      <c r="N38" s="313"/>
      <c r="O38" s="313"/>
      <c r="P38" s="299"/>
      <c r="Q38" s="313"/>
      <c r="R38" s="313"/>
      <c r="S38" s="313"/>
      <c r="T38" s="299"/>
      <c r="U38" s="332"/>
      <c r="V38" s="307"/>
      <c r="W38" s="320"/>
      <c r="X38" s="307"/>
      <c r="Y38" s="307"/>
      <c r="Z38" s="320"/>
      <c r="AA38" s="332"/>
      <c r="AB38" s="157" t="e">
        <f t="shared" si="2"/>
        <v>#DIV/0!</v>
      </c>
      <c r="AC38" s="150"/>
      <c r="AD38" s="305"/>
      <c r="AE38" s="145"/>
      <c r="AF38" s="145"/>
    </row>
    <row r="39" spans="1:32" ht="409.5" customHeight="1" x14ac:dyDescent="0.25">
      <c r="A39" s="319" t="s">
        <v>50</v>
      </c>
      <c r="B39" s="300" t="s">
        <v>299</v>
      </c>
      <c r="C39" s="300" t="s">
        <v>27</v>
      </c>
      <c r="D39" s="298">
        <v>1226.7</v>
      </c>
      <c r="E39" s="298">
        <v>0</v>
      </c>
      <c r="F39" s="312">
        <v>0</v>
      </c>
      <c r="G39" s="312">
        <v>0</v>
      </c>
      <c r="H39" s="312">
        <v>0</v>
      </c>
      <c r="I39" s="298">
        <v>1226.7</v>
      </c>
      <c r="J39" s="312">
        <v>0</v>
      </c>
      <c r="K39" s="298">
        <v>0</v>
      </c>
      <c r="L39" s="312">
        <v>0</v>
      </c>
      <c r="M39" s="312">
        <v>0</v>
      </c>
      <c r="N39" s="298">
        <v>801.3</v>
      </c>
      <c r="O39" s="312">
        <v>0</v>
      </c>
      <c r="P39" s="298">
        <v>0</v>
      </c>
      <c r="Q39" s="312">
        <v>0</v>
      </c>
      <c r="R39" s="312">
        <v>0</v>
      </c>
      <c r="S39" s="312">
        <v>0</v>
      </c>
      <c r="T39" s="298">
        <v>0.4</v>
      </c>
      <c r="U39" s="342"/>
      <c r="V39" s="306"/>
      <c r="W39" s="319" t="s">
        <v>30</v>
      </c>
      <c r="X39" s="306">
        <v>300</v>
      </c>
      <c r="Y39" s="306">
        <v>178</v>
      </c>
      <c r="Z39" s="319" t="s">
        <v>233</v>
      </c>
      <c r="AA39" s="331" t="s">
        <v>276</v>
      </c>
      <c r="AB39" s="157" t="e">
        <f t="shared" si="2"/>
        <v>#DIV/0!</v>
      </c>
      <c r="AC39" s="150">
        <f t="shared" si="3"/>
        <v>59.333333333333336</v>
      </c>
      <c r="AD39" s="145">
        <v>277.8</v>
      </c>
      <c r="AE39" s="145"/>
      <c r="AF39" s="145"/>
    </row>
    <row r="40" spans="1:32" ht="154.5" customHeight="1" x14ac:dyDescent="0.25">
      <c r="A40" s="320"/>
      <c r="B40" s="301"/>
      <c r="C40" s="301"/>
      <c r="D40" s="299"/>
      <c r="E40" s="299"/>
      <c r="F40" s="313"/>
      <c r="G40" s="313"/>
      <c r="H40" s="313"/>
      <c r="I40" s="299"/>
      <c r="J40" s="313"/>
      <c r="K40" s="299"/>
      <c r="L40" s="313"/>
      <c r="M40" s="313"/>
      <c r="N40" s="299"/>
      <c r="O40" s="313"/>
      <c r="P40" s="299"/>
      <c r="Q40" s="313"/>
      <c r="R40" s="313"/>
      <c r="S40" s="313"/>
      <c r="T40" s="299"/>
      <c r="U40" s="343"/>
      <c r="V40" s="307"/>
      <c r="W40" s="320"/>
      <c r="X40" s="307"/>
      <c r="Y40" s="307"/>
      <c r="Z40" s="320"/>
      <c r="AA40" s="332"/>
      <c r="AB40" s="157" t="e">
        <f t="shared" si="2"/>
        <v>#DIV/0!</v>
      </c>
      <c r="AC40" s="150"/>
      <c r="AD40" s="145"/>
      <c r="AE40" s="145"/>
      <c r="AF40" s="145"/>
    </row>
    <row r="41" spans="1:32" ht="408.75" customHeight="1" x14ac:dyDescent="0.25">
      <c r="A41" s="275" t="s">
        <v>51</v>
      </c>
      <c r="B41" s="276" t="s">
        <v>300</v>
      </c>
      <c r="C41" s="276"/>
      <c r="D41" s="280">
        <v>0</v>
      </c>
      <c r="E41" s="280">
        <v>2639</v>
      </c>
      <c r="F41" s="93">
        <v>0</v>
      </c>
      <c r="G41" s="93">
        <v>0</v>
      </c>
      <c r="H41" s="93">
        <v>0</v>
      </c>
      <c r="I41" s="280">
        <v>0</v>
      </c>
      <c r="J41" s="93">
        <v>0</v>
      </c>
      <c r="K41" s="280">
        <v>2639</v>
      </c>
      <c r="L41" s="93">
        <v>0</v>
      </c>
      <c r="M41" s="93">
        <v>0</v>
      </c>
      <c r="N41" s="93">
        <v>0</v>
      </c>
      <c r="O41" s="93">
        <v>0</v>
      </c>
      <c r="P41" s="280">
        <v>1376.3</v>
      </c>
      <c r="Q41" s="93">
        <v>0</v>
      </c>
      <c r="R41" s="93">
        <v>0</v>
      </c>
      <c r="S41" s="93">
        <v>0</v>
      </c>
      <c r="T41" s="280">
        <v>12.8</v>
      </c>
      <c r="U41" s="95"/>
      <c r="V41" s="17"/>
      <c r="W41" s="90" t="s">
        <v>30</v>
      </c>
      <c r="X41" s="278">
        <v>379</v>
      </c>
      <c r="Y41" s="278">
        <v>199</v>
      </c>
      <c r="Z41" s="275" t="s">
        <v>233</v>
      </c>
      <c r="AA41" s="277" t="s">
        <v>276</v>
      </c>
      <c r="AB41" s="157">
        <f t="shared" si="2"/>
        <v>52.152330428192492</v>
      </c>
      <c r="AC41" s="150">
        <f t="shared" si="3"/>
        <v>52.506596306068602</v>
      </c>
      <c r="AD41" s="145">
        <v>172.5</v>
      </c>
      <c r="AE41" s="145"/>
      <c r="AF41" s="145"/>
    </row>
    <row r="42" spans="1:32" ht="387.75" x14ac:dyDescent="0.25">
      <c r="A42" s="281" t="s">
        <v>52</v>
      </c>
      <c r="B42" s="276" t="s">
        <v>301</v>
      </c>
      <c r="C42" s="276" t="s">
        <v>27</v>
      </c>
      <c r="D42" s="280">
        <v>0</v>
      </c>
      <c r="E42" s="280">
        <v>39312.5</v>
      </c>
      <c r="F42" s="279">
        <v>0</v>
      </c>
      <c r="G42" s="279">
        <v>0</v>
      </c>
      <c r="H42" s="279">
        <v>0</v>
      </c>
      <c r="I42" s="280">
        <v>0</v>
      </c>
      <c r="J42" s="279">
        <v>0</v>
      </c>
      <c r="K42" s="280">
        <v>39312.5</v>
      </c>
      <c r="L42" s="279">
        <v>0</v>
      </c>
      <c r="M42" s="279">
        <v>0</v>
      </c>
      <c r="N42" s="279">
        <v>0</v>
      </c>
      <c r="O42" s="279">
        <v>0</v>
      </c>
      <c r="P42" s="280">
        <v>9583.9</v>
      </c>
      <c r="Q42" s="279">
        <v>0</v>
      </c>
      <c r="R42" s="279">
        <v>0</v>
      </c>
      <c r="S42" s="279">
        <v>0</v>
      </c>
      <c r="T42" s="280">
        <v>746.7</v>
      </c>
      <c r="U42" s="276"/>
      <c r="V42" s="278"/>
      <c r="W42" s="275" t="s">
        <v>30</v>
      </c>
      <c r="X42" s="284">
        <v>6516</v>
      </c>
      <c r="Y42" s="283">
        <f>1469+98</f>
        <v>1567</v>
      </c>
      <c r="Z42" s="275" t="s">
        <v>233</v>
      </c>
      <c r="AA42" s="277" t="s">
        <v>276</v>
      </c>
      <c r="AB42" s="157">
        <f t="shared" si="2"/>
        <v>24.378759936406993</v>
      </c>
      <c r="AC42" s="150">
        <f t="shared" si="3"/>
        <v>24.048496009821978</v>
      </c>
      <c r="AD42" s="145">
        <v>9583.9</v>
      </c>
      <c r="AE42" s="145"/>
      <c r="AF42" s="145"/>
    </row>
    <row r="43" spans="1:32" ht="387" customHeight="1" x14ac:dyDescent="0.25">
      <c r="A43" s="310" t="s">
        <v>53</v>
      </c>
      <c r="B43" s="300" t="s">
        <v>302</v>
      </c>
      <c r="C43" s="300" t="s">
        <v>27</v>
      </c>
      <c r="D43" s="298">
        <v>0</v>
      </c>
      <c r="E43" s="317">
        <v>39</v>
      </c>
      <c r="F43" s="312">
        <v>0</v>
      </c>
      <c r="G43" s="312">
        <v>0</v>
      </c>
      <c r="H43" s="312">
        <v>0</v>
      </c>
      <c r="I43" s="298">
        <v>0</v>
      </c>
      <c r="J43" s="312">
        <v>0</v>
      </c>
      <c r="K43" s="298">
        <v>39</v>
      </c>
      <c r="L43" s="312">
        <v>0</v>
      </c>
      <c r="M43" s="312">
        <v>0</v>
      </c>
      <c r="N43" s="312">
        <v>0</v>
      </c>
      <c r="O43" s="312">
        <v>0</v>
      </c>
      <c r="P43" s="298">
        <v>0</v>
      </c>
      <c r="Q43" s="312">
        <v>0</v>
      </c>
      <c r="R43" s="312">
        <v>0</v>
      </c>
      <c r="S43" s="312">
        <v>0</v>
      </c>
      <c r="T43" s="298">
        <v>0</v>
      </c>
      <c r="U43" s="300"/>
      <c r="V43" s="340"/>
      <c r="W43" s="300" t="s">
        <v>30</v>
      </c>
      <c r="X43" s="306">
        <v>6</v>
      </c>
      <c r="Y43" s="306">
        <v>0</v>
      </c>
      <c r="Z43" s="319" t="s">
        <v>233</v>
      </c>
      <c r="AA43" s="331" t="s">
        <v>277</v>
      </c>
      <c r="AB43" s="157">
        <f t="shared" si="2"/>
        <v>0</v>
      </c>
      <c r="AC43" s="150">
        <f t="shared" si="3"/>
        <v>0</v>
      </c>
      <c r="AD43" s="145">
        <v>0</v>
      </c>
      <c r="AE43" s="145"/>
      <c r="AF43" s="145"/>
    </row>
    <row r="44" spans="1:32" ht="161.25" hidden="1" customHeight="1" x14ac:dyDescent="0.25">
      <c r="A44" s="311"/>
      <c r="B44" s="301"/>
      <c r="C44" s="301"/>
      <c r="D44" s="299"/>
      <c r="E44" s="318"/>
      <c r="F44" s="313"/>
      <c r="G44" s="313"/>
      <c r="H44" s="313"/>
      <c r="I44" s="299"/>
      <c r="J44" s="313"/>
      <c r="K44" s="299"/>
      <c r="L44" s="313"/>
      <c r="M44" s="313"/>
      <c r="N44" s="313"/>
      <c r="O44" s="313"/>
      <c r="P44" s="299"/>
      <c r="Q44" s="313"/>
      <c r="R44" s="313"/>
      <c r="S44" s="313"/>
      <c r="T44" s="299"/>
      <c r="U44" s="301"/>
      <c r="V44" s="341"/>
      <c r="W44" s="301"/>
      <c r="X44" s="307"/>
      <c r="Y44" s="307"/>
      <c r="Z44" s="320"/>
      <c r="AA44" s="332"/>
      <c r="AB44" s="157" t="e">
        <f t="shared" si="2"/>
        <v>#DIV/0!</v>
      </c>
      <c r="AC44" s="150" t="e">
        <f t="shared" si="3"/>
        <v>#DIV/0!</v>
      </c>
      <c r="AD44" s="145"/>
      <c r="AE44" s="145"/>
      <c r="AF44" s="145"/>
    </row>
    <row r="45" spans="1:32" ht="347.25" customHeight="1" x14ac:dyDescent="0.25">
      <c r="A45" s="281" t="s">
        <v>377</v>
      </c>
      <c r="B45" s="276" t="s">
        <v>379</v>
      </c>
      <c r="C45" s="276" t="s">
        <v>27</v>
      </c>
      <c r="D45" s="280">
        <v>0</v>
      </c>
      <c r="E45" s="109">
        <v>38408.699999999997</v>
      </c>
      <c r="F45" s="279">
        <v>0</v>
      </c>
      <c r="G45" s="279">
        <v>0</v>
      </c>
      <c r="H45" s="279">
        <v>0</v>
      </c>
      <c r="I45" s="280">
        <v>0</v>
      </c>
      <c r="J45" s="279">
        <v>0</v>
      </c>
      <c r="K45" s="280">
        <v>38408.699999999997</v>
      </c>
      <c r="L45" s="279">
        <v>0</v>
      </c>
      <c r="M45" s="279">
        <v>0</v>
      </c>
      <c r="N45" s="279">
        <v>0</v>
      </c>
      <c r="O45" s="279">
        <v>0</v>
      </c>
      <c r="P45" s="280">
        <v>32197.7</v>
      </c>
      <c r="Q45" s="279">
        <v>0</v>
      </c>
      <c r="R45" s="279">
        <v>0</v>
      </c>
      <c r="S45" s="279">
        <v>0</v>
      </c>
      <c r="T45" s="280">
        <v>374.3</v>
      </c>
      <c r="U45" s="276"/>
      <c r="V45" s="12"/>
      <c r="W45" s="276" t="s">
        <v>30</v>
      </c>
      <c r="X45" s="278">
        <v>5923</v>
      </c>
      <c r="Y45" s="278">
        <v>4285</v>
      </c>
      <c r="Z45" s="275" t="s">
        <v>233</v>
      </c>
      <c r="AA45" s="277" t="s">
        <v>276</v>
      </c>
      <c r="AB45" s="157">
        <f t="shared" si="2"/>
        <v>83.829184533712422</v>
      </c>
      <c r="AC45" s="150">
        <f t="shared" si="3"/>
        <v>72.345095390849238</v>
      </c>
      <c r="AD45" s="145">
        <v>0</v>
      </c>
      <c r="AE45" s="145"/>
      <c r="AF45" s="145"/>
    </row>
    <row r="46" spans="1:32" ht="332.25" customHeight="1" x14ac:dyDescent="0.25">
      <c r="A46" s="281" t="s">
        <v>378</v>
      </c>
      <c r="B46" s="276" t="s">
        <v>380</v>
      </c>
      <c r="C46" s="276" t="s">
        <v>27</v>
      </c>
      <c r="D46" s="280">
        <v>0</v>
      </c>
      <c r="E46" s="109">
        <v>903.8</v>
      </c>
      <c r="F46" s="279">
        <v>0</v>
      </c>
      <c r="G46" s="279">
        <v>0</v>
      </c>
      <c r="H46" s="279">
        <v>0</v>
      </c>
      <c r="I46" s="280">
        <v>0</v>
      </c>
      <c r="J46" s="279">
        <v>0</v>
      </c>
      <c r="K46" s="280">
        <v>903.8</v>
      </c>
      <c r="L46" s="279">
        <v>0</v>
      </c>
      <c r="M46" s="279">
        <v>0</v>
      </c>
      <c r="N46" s="279">
        <v>0</v>
      </c>
      <c r="O46" s="279">
        <v>0</v>
      </c>
      <c r="P46" s="280">
        <v>458.2</v>
      </c>
      <c r="Q46" s="279">
        <v>0</v>
      </c>
      <c r="R46" s="279">
        <v>0</v>
      </c>
      <c r="S46" s="279">
        <v>0</v>
      </c>
      <c r="T46" s="280">
        <v>372.4</v>
      </c>
      <c r="U46" s="276"/>
      <c r="V46" s="12"/>
      <c r="W46" s="276" t="s">
        <v>30</v>
      </c>
      <c r="X46" s="278">
        <v>593</v>
      </c>
      <c r="Y46" s="278">
        <v>291</v>
      </c>
      <c r="Z46" s="275" t="s">
        <v>233</v>
      </c>
      <c r="AA46" s="277" t="s">
        <v>276</v>
      </c>
      <c r="AB46" s="157">
        <f t="shared" si="2"/>
        <v>50.697056870989158</v>
      </c>
      <c r="AC46" s="150">
        <f t="shared" si="3"/>
        <v>49.072512647554802</v>
      </c>
      <c r="AD46" s="145">
        <v>0</v>
      </c>
      <c r="AE46" s="145"/>
      <c r="AF46" s="145"/>
    </row>
    <row r="47" spans="1:32" ht="372" customHeight="1" x14ac:dyDescent="0.25">
      <c r="A47" s="281" t="s">
        <v>54</v>
      </c>
      <c r="B47" s="276" t="s">
        <v>303</v>
      </c>
      <c r="C47" s="276" t="s">
        <v>27</v>
      </c>
      <c r="D47" s="280">
        <v>0</v>
      </c>
      <c r="E47" s="280">
        <v>197.9</v>
      </c>
      <c r="F47" s="279">
        <v>0</v>
      </c>
      <c r="G47" s="279">
        <v>0</v>
      </c>
      <c r="H47" s="279">
        <v>0</v>
      </c>
      <c r="I47" s="280">
        <v>0</v>
      </c>
      <c r="J47" s="279">
        <v>0</v>
      </c>
      <c r="K47" s="280">
        <v>197.9</v>
      </c>
      <c r="L47" s="279">
        <v>0</v>
      </c>
      <c r="M47" s="279">
        <v>0</v>
      </c>
      <c r="N47" s="279">
        <v>0</v>
      </c>
      <c r="O47" s="279">
        <v>0</v>
      </c>
      <c r="P47" s="280">
        <v>0</v>
      </c>
      <c r="Q47" s="279">
        <v>0</v>
      </c>
      <c r="R47" s="279">
        <v>0</v>
      </c>
      <c r="S47" s="279">
        <v>0</v>
      </c>
      <c r="T47" s="280">
        <v>0</v>
      </c>
      <c r="U47" s="276"/>
      <c r="V47" s="278"/>
      <c r="W47" s="275" t="s">
        <v>30</v>
      </c>
      <c r="X47" s="278">
        <v>13</v>
      </c>
      <c r="Y47" s="278">
        <v>0</v>
      </c>
      <c r="Z47" s="275" t="s">
        <v>233</v>
      </c>
      <c r="AA47" s="277" t="s">
        <v>443</v>
      </c>
      <c r="AB47" s="157">
        <f t="shared" si="2"/>
        <v>0</v>
      </c>
      <c r="AC47" s="150">
        <f t="shared" si="3"/>
        <v>0</v>
      </c>
      <c r="AD47" s="145">
        <v>0</v>
      </c>
      <c r="AE47" s="145"/>
      <c r="AF47" s="145"/>
    </row>
    <row r="48" spans="1:32" ht="382.5" customHeight="1" x14ac:dyDescent="0.25">
      <c r="A48" s="310" t="s">
        <v>55</v>
      </c>
      <c r="B48" s="300" t="s">
        <v>304</v>
      </c>
      <c r="C48" s="300" t="s">
        <v>27</v>
      </c>
      <c r="D48" s="298">
        <v>338245.6</v>
      </c>
      <c r="E48" s="298">
        <v>0</v>
      </c>
      <c r="F48" s="312">
        <v>0</v>
      </c>
      <c r="G48" s="312">
        <v>0</v>
      </c>
      <c r="H48" s="312">
        <v>0</v>
      </c>
      <c r="I48" s="298">
        <v>338245.6</v>
      </c>
      <c r="J48" s="312">
        <v>0</v>
      </c>
      <c r="K48" s="298">
        <v>0</v>
      </c>
      <c r="L48" s="312">
        <v>0</v>
      </c>
      <c r="M48" s="312">
        <v>0</v>
      </c>
      <c r="N48" s="312">
        <v>327004.09999999998</v>
      </c>
      <c r="O48" s="312">
        <v>0</v>
      </c>
      <c r="P48" s="298">
        <v>0</v>
      </c>
      <c r="Q48" s="312">
        <v>0</v>
      </c>
      <c r="R48" s="312">
        <v>0</v>
      </c>
      <c r="S48" s="312">
        <v>0</v>
      </c>
      <c r="T48" s="298">
        <v>523.20000000000005</v>
      </c>
      <c r="U48" s="342"/>
      <c r="V48" s="306"/>
      <c r="W48" s="319" t="s">
        <v>30</v>
      </c>
      <c r="X48" s="333">
        <v>21997</v>
      </c>
      <c r="Y48" s="333">
        <v>21480</v>
      </c>
      <c r="Z48" s="319" t="s">
        <v>233</v>
      </c>
      <c r="AA48" s="331" t="s">
        <v>276</v>
      </c>
      <c r="AB48" s="157" t="e">
        <f t="shared" si="2"/>
        <v>#DIV/0!</v>
      </c>
      <c r="AC48" s="150">
        <f t="shared" si="3"/>
        <v>97.649679501750242</v>
      </c>
      <c r="AD48" s="145">
        <v>320266.90000000002</v>
      </c>
      <c r="AE48" s="145"/>
      <c r="AF48" s="145"/>
    </row>
    <row r="49" spans="1:32" ht="363.75" hidden="1" customHeight="1" x14ac:dyDescent="0.25">
      <c r="A49" s="311"/>
      <c r="B49" s="301"/>
      <c r="C49" s="301"/>
      <c r="D49" s="299"/>
      <c r="E49" s="299"/>
      <c r="F49" s="313"/>
      <c r="G49" s="313"/>
      <c r="H49" s="313"/>
      <c r="I49" s="299"/>
      <c r="J49" s="313"/>
      <c r="K49" s="299"/>
      <c r="L49" s="313"/>
      <c r="M49" s="313"/>
      <c r="N49" s="313"/>
      <c r="O49" s="313"/>
      <c r="P49" s="299"/>
      <c r="Q49" s="313"/>
      <c r="R49" s="313"/>
      <c r="S49" s="313"/>
      <c r="T49" s="299"/>
      <c r="U49" s="343"/>
      <c r="V49" s="307"/>
      <c r="W49" s="320"/>
      <c r="X49" s="334"/>
      <c r="Y49" s="334"/>
      <c r="Z49" s="320"/>
      <c r="AA49" s="332"/>
      <c r="AB49" s="157" t="e">
        <f t="shared" si="2"/>
        <v>#DIV/0!</v>
      </c>
      <c r="AC49" s="150" t="e">
        <f t="shared" si="3"/>
        <v>#DIV/0!</v>
      </c>
      <c r="AD49" s="145"/>
      <c r="AE49" s="145"/>
      <c r="AF49" s="145"/>
    </row>
    <row r="50" spans="1:32" ht="388.5" customHeight="1" x14ac:dyDescent="0.25">
      <c r="A50" s="281" t="s">
        <v>56</v>
      </c>
      <c r="B50" s="276" t="s">
        <v>305</v>
      </c>
      <c r="C50" s="276" t="s">
        <v>27</v>
      </c>
      <c r="D50" s="280">
        <v>0</v>
      </c>
      <c r="E50" s="280">
        <v>102309.7</v>
      </c>
      <c r="F50" s="93">
        <v>0</v>
      </c>
      <c r="G50" s="93">
        <v>0</v>
      </c>
      <c r="H50" s="93">
        <v>0</v>
      </c>
      <c r="I50" s="280">
        <v>0</v>
      </c>
      <c r="J50" s="93">
        <v>0</v>
      </c>
      <c r="K50" s="280">
        <v>102309.7</v>
      </c>
      <c r="L50" s="93">
        <v>0</v>
      </c>
      <c r="M50" s="93">
        <v>0</v>
      </c>
      <c r="N50" s="93">
        <v>0</v>
      </c>
      <c r="O50" s="93">
        <v>0</v>
      </c>
      <c r="P50" s="280">
        <v>82705.5</v>
      </c>
      <c r="Q50" s="93">
        <v>0</v>
      </c>
      <c r="R50" s="93">
        <v>0</v>
      </c>
      <c r="S50" s="93">
        <v>0</v>
      </c>
      <c r="T50" s="280">
        <v>716.1</v>
      </c>
      <c r="U50" s="96"/>
      <c r="V50" s="90"/>
      <c r="W50" s="90" t="s">
        <v>30</v>
      </c>
      <c r="X50" s="278">
        <v>159</v>
      </c>
      <c r="Y50" s="278">
        <v>146</v>
      </c>
      <c r="Z50" s="275" t="s">
        <v>233</v>
      </c>
      <c r="AA50" s="277" t="s">
        <v>276</v>
      </c>
      <c r="AB50" s="157">
        <f t="shared" si="2"/>
        <v>80.83837602886139</v>
      </c>
      <c r="AC50" s="150">
        <f t="shared" si="3"/>
        <v>91.823899371069189</v>
      </c>
      <c r="AD50" s="145">
        <v>27903.4</v>
      </c>
      <c r="AE50" s="145"/>
      <c r="AF50" s="145"/>
    </row>
    <row r="51" spans="1:32" ht="408.75" customHeight="1" x14ac:dyDescent="0.25">
      <c r="A51" s="310" t="s">
        <v>57</v>
      </c>
      <c r="B51" s="300" t="s">
        <v>306</v>
      </c>
      <c r="C51" s="300" t="s">
        <v>27</v>
      </c>
      <c r="D51" s="298">
        <v>0</v>
      </c>
      <c r="E51" s="317">
        <v>1492.9</v>
      </c>
      <c r="F51" s="312">
        <v>0</v>
      </c>
      <c r="G51" s="312">
        <v>0</v>
      </c>
      <c r="H51" s="312">
        <v>0</v>
      </c>
      <c r="I51" s="298">
        <v>0</v>
      </c>
      <c r="J51" s="312">
        <v>0</v>
      </c>
      <c r="K51" s="298">
        <v>1492.9</v>
      </c>
      <c r="L51" s="312">
        <v>0</v>
      </c>
      <c r="M51" s="312">
        <v>0</v>
      </c>
      <c r="N51" s="312">
        <v>0</v>
      </c>
      <c r="O51" s="312">
        <v>0</v>
      </c>
      <c r="P51" s="298">
        <f>258.6-0.1</f>
        <v>258.5</v>
      </c>
      <c r="Q51" s="312">
        <v>0</v>
      </c>
      <c r="R51" s="312">
        <v>0</v>
      </c>
      <c r="S51" s="312">
        <v>0</v>
      </c>
      <c r="T51" s="298">
        <v>0</v>
      </c>
      <c r="U51" s="342"/>
      <c r="V51" s="319"/>
      <c r="W51" s="306" t="s">
        <v>30</v>
      </c>
      <c r="X51" s="306">
        <v>9</v>
      </c>
      <c r="Y51" s="306">
        <v>2</v>
      </c>
      <c r="Z51" s="319" t="s">
        <v>233</v>
      </c>
      <c r="AA51" s="300" t="s">
        <v>276</v>
      </c>
      <c r="AB51" s="157">
        <f t="shared" si="2"/>
        <v>17.315292383950698</v>
      </c>
      <c r="AC51" s="150">
        <f t="shared" si="3"/>
        <v>22.222222222222221</v>
      </c>
      <c r="AD51" s="145">
        <v>258.60000000000002</v>
      </c>
      <c r="AE51" s="145"/>
      <c r="AF51" s="145"/>
    </row>
    <row r="52" spans="1:32" ht="171" customHeight="1" x14ac:dyDescent="0.25">
      <c r="A52" s="311"/>
      <c r="B52" s="301"/>
      <c r="C52" s="301"/>
      <c r="D52" s="299"/>
      <c r="E52" s="318"/>
      <c r="F52" s="313"/>
      <c r="G52" s="313"/>
      <c r="H52" s="313"/>
      <c r="I52" s="299"/>
      <c r="J52" s="313"/>
      <c r="K52" s="299"/>
      <c r="L52" s="313"/>
      <c r="M52" s="313"/>
      <c r="N52" s="313"/>
      <c r="O52" s="313"/>
      <c r="P52" s="299"/>
      <c r="Q52" s="313"/>
      <c r="R52" s="313"/>
      <c r="S52" s="313"/>
      <c r="T52" s="299"/>
      <c r="U52" s="343"/>
      <c r="V52" s="320"/>
      <c r="W52" s="307"/>
      <c r="X52" s="307"/>
      <c r="Y52" s="307"/>
      <c r="Z52" s="320"/>
      <c r="AA52" s="301"/>
      <c r="AB52" s="157" t="e">
        <f t="shared" si="2"/>
        <v>#DIV/0!</v>
      </c>
      <c r="AC52" s="150"/>
      <c r="AD52" s="145"/>
      <c r="AE52" s="145"/>
      <c r="AF52" s="145"/>
    </row>
    <row r="53" spans="1:32" ht="408.75" customHeight="1" x14ac:dyDescent="0.25">
      <c r="A53" s="281" t="s">
        <v>58</v>
      </c>
      <c r="B53" s="276" t="s">
        <v>307</v>
      </c>
      <c r="C53" s="276" t="s">
        <v>27</v>
      </c>
      <c r="D53" s="280">
        <v>0</v>
      </c>
      <c r="E53" s="109">
        <v>17539.2</v>
      </c>
      <c r="F53" s="93">
        <v>0</v>
      </c>
      <c r="G53" s="93">
        <v>0</v>
      </c>
      <c r="H53" s="93">
        <v>0</v>
      </c>
      <c r="I53" s="280">
        <v>0</v>
      </c>
      <c r="J53" s="93">
        <v>0</v>
      </c>
      <c r="K53" s="280">
        <v>17539.2</v>
      </c>
      <c r="L53" s="93">
        <v>0</v>
      </c>
      <c r="M53" s="93">
        <v>0</v>
      </c>
      <c r="N53" s="93">
        <v>0</v>
      </c>
      <c r="O53" s="93">
        <v>0</v>
      </c>
      <c r="P53" s="280">
        <v>11954.6</v>
      </c>
      <c r="Q53" s="93">
        <v>0</v>
      </c>
      <c r="R53" s="93">
        <v>0</v>
      </c>
      <c r="S53" s="93">
        <v>0</v>
      </c>
      <c r="T53" s="280">
        <v>111.2</v>
      </c>
      <c r="U53" s="96"/>
      <c r="V53" s="90"/>
      <c r="W53" s="17" t="s">
        <v>30</v>
      </c>
      <c r="X53" s="278">
        <v>48</v>
      </c>
      <c r="Y53" s="278">
        <v>44</v>
      </c>
      <c r="Z53" s="275" t="s">
        <v>233</v>
      </c>
      <c r="AA53" s="277" t="s">
        <v>276</v>
      </c>
      <c r="AB53" s="157">
        <f t="shared" si="2"/>
        <v>68.159323116219667</v>
      </c>
      <c r="AC53" s="150">
        <f t="shared" si="3"/>
        <v>91.666666666666657</v>
      </c>
      <c r="AD53" s="145">
        <v>4015.2</v>
      </c>
      <c r="AE53" s="145"/>
      <c r="AF53" s="145"/>
    </row>
    <row r="54" spans="1:32" ht="409.5" customHeight="1" x14ac:dyDescent="0.25">
      <c r="A54" s="281" t="s">
        <v>59</v>
      </c>
      <c r="B54" s="276" t="s">
        <v>308</v>
      </c>
      <c r="C54" s="276" t="s">
        <v>27</v>
      </c>
      <c r="D54" s="280">
        <v>0</v>
      </c>
      <c r="E54" s="109">
        <v>123.7</v>
      </c>
      <c r="F54" s="93">
        <v>0</v>
      </c>
      <c r="G54" s="93">
        <v>0</v>
      </c>
      <c r="H54" s="93">
        <v>0</v>
      </c>
      <c r="I54" s="280">
        <v>0</v>
      </c>
      <c r="J54" s="93">
        <v>0</v>
      </c>
      <c r="K54" s="280">
        <v>123.7</v>
      </c>
      <c r="L54" s="93">
        <v>0</v>
      </c>
      <c r="M54" s="93">
        <v>0</v>
      </c>
      <c r="N54" s="93">
        <v>0</v>
      </c>
      <c r="O54" s="93">
        <v>0</v>
      </c>
      <c r="P54" s="280">
        <v>96.7</v>
      </c>
      <c r="Q54" s="93">
        <v>0</v>
      </c>
      <c r="R54" s="93">
        <v>0</v>
      </c>
      <c r="S54" s="93">
        <v>0</v>
      </c>
      <c r="T54" s="280">
        <v>0.3</v>
      </c>
      <c r="U54" s="96"/>
      <c r="V54" s="17"/>
      <c r="W54" s="90" t="s">
        <v>30</v>
      </c>
      <c r="X54" s="278">
        <v>16</v>
      </c>
      <c r="Y54" s="278">
        <v>12</v>
      </c>
      <c r="Z54" s="275" t="s">
        <v>233</v>
      </c>
      <c r="AA54" s="277" t="s">
        <v>276</v>
      </c>
      <c r="AB54" s="157">
        <f t="shared" si="2"/>
        <v>78.172999191592567</v>
      </c>
      <c r="AC54" s="150">
        <f t="shared" si="3"/>
        <v>75</v>
      </c>
      <c r="AD54" s="145">
        <v>26.4</v>
      </c>
      <c r="AE54" s="145"/>
      <c r="AF54" s="145"/>
    </row>
    <row r="55" spans="1:32" ht="381" customHeight="1" x14ac:dyDescent="0.25">
      <c r="A55" s="310" t="s">
        <v>60</v>
      </c>
      <c r="B55" s="300" t="s">
        <v>309</v>
      </c>
      <c r="C55" s="300" t="s">
        <v>27</v>
      </c>
      <c r="D55" s="298">
        <v>0</v>
      </c>
      <c r="E55" s="317">
        <v>46847.1</v>
      </c>
      <c r="F55" s="312">
        <v>0</v>
      </c>
      <c r="G55" s="312">
        <v>0</v>
      </c>
      <c r="H55" s="312">
        <v>0</v>
      </c>
      <c r="I55" s="298">
        <v>0</v>
      </c>
      <c r="J55" s="312">
        <v>0</v>
      </c>
      <c r="K55" s="298">
        <v>46847.1</v>
      </c>
      <c r="L55" s="312">
        <v>0</v>
      </c>
      <c r="M55" s="312">
        <v>0</v>
      </c>
      <c r="N55" s="312">
        <v>0</v>
      </c>
      <c r="O55" s="312">
        <v>0</v>
      </c>
      <c r="P55" s="298">
        <v>32024.3</v>
      </c>
      <c r="Q55" s="312">
        <v>0</v>
      </c>
      <c r="R55" s="312">
        <v>0</v>
      </c>
      <c r="S55" s="312">
        <v>0</v>
      </c>
      <c r="T55" s="298">
        <v>309.10000000000002</v>
      </c>
      <c r="U55" s="342"/>
      <c r="V55" s="319"/>
      <c r="W55" s="319" t="s">
        <v>30</v>
      </c>
      <c r="X55" s="333">
        <v>1471</v>
      </c>
      <c r="Y55" s="333">
        <v>1283</v>
      </c>
      <c r="Z55" s="319" t="s">
        <v>233</v>
      </c>
      <c r="AA55" s="300" t="s">
        <v>276</v>
      </c>
      <c r="AB55" s="157">
        <f t="shared" si="2"/>
        <v>68.359194058970559</v>
      </c>
      <c r="AC55" s="150">
        <f t="shared" si="3"/>
        <v>87.219578518014956</v>
      </c>
      <c r="AD55" s="145">
        <v>10769.4</v>
      </c>
      <c r="AE55" s="145"/>
      <c r="AF55" s="145"/>
    </row>
    <row r="56" spans="1:32" ht="39.75" hidden="1" customHeight="1" x14ac:dyDescent="0.25">
      <c r="A56" s="311"/>
      <c r="B56" s="301"/>
      <c r="C56" s="301"/>
      <c r="D56" s="299"/>
      <c r="E56" s="318"/>
      <c r="F56" s="313"/>
      <c r="G56" s="313"/>
      <c r="H56" s="313"/>
      <c r="I56" s="299"/>
      <c r="J56" s="313"/>
      <c r="K56" s="299"/>
      <c r="L56" s="313"/>
      <c r="M56" s="313"/>
      <c r="N56" s="313"/>
      <c r="O56" s="313"/>
      <c r="P56" s="299"/>
      <c r="Q56" s="313"/>
      <c r="R56" s="313"/>
      <c r="S56" s="313"/>
      <c r="T56" s="299"/>
      <c r="U56" s="343"/>
      <c r="V56" s="320"/>
      <c r="W56" s="320"/>
      <c r="X56" s="334"/>
      <c r="Y56" s="334"/>
      <c r="Z56" s="320"/>
      <c r="AA56" s="301"/>
      <c r="AB56" s="157" t="e">
        <f t="shared" si="2"/>
        <v>#DIV/0!</v>
      </c>
      <c r="AC56" s="150" t="e">
        <f t="shared" si="3"/>
        <v>#DIV/0!</v>
      </c>
      <c r="AD56" s="145"/>
      <c r="AE56" s="145"/>
      <c r="AF56" s="145"/>
    </row>
    <row r="57" spans="1:32" ht="404.25" customHeight="1" x14ac:dyDescent="0.25">
      <c r="A57" s="275" t="s">
        <v>61</v>
      </c>
      <c r="B57" s="276" t="s">
        <v>310</v>
      </c>
      <c r="C57" s="276" t="s">
        <v>27</v>
      </c>
      <c r="D57" s="280">
        <v>0</v>
      </c>
      <c r="E57" s="109">
        <v>1583655.9</v>
      </c>
      <c r="F57" s="279">
        <v>0</v>
      </c>
      <c r="G57" s="279">
        <v>0</v>
      </c>
      <c r="H57" s="279">
        <v>0</v>
      </c>
      <c r="I57" s="280">
        <v>0</v>
      </c>
      <c r="J57" s="279">
        <v>0</v>
      </c>
      <c r="K57" s="280">
        <v>1583655.9</v>
      </c>
      <c r="L57" s="279">
        <v>0</v>
      </c>
      <c r="M57" s="279">
        <v>0</v>
      </c>
      <c r="N57" s="279">
        <v>0</v>
      </c>
      <c r="O57" s="279">
        <v>0</v>
      </c>
      <c r="P57" s="280">
        <v>1086301.6000000001</v>
      </c>
      <c r="Q57" s="279">
        <v>0</v>
      </c>
      <c r="R57" s="279">
        <v>0</v>
      </c>
      <c r="S57" s="279">
        <v>0</v>
      </c>
      <c r="T57" s="280">
        <v>0</v>
      </c>
      <c r="U57" s="276"/>
      <c r="V57" s="278"/>
      <c r="W57" s="275" t="s">
        <v>62</v>
      </c>
      <c r="X57" s="274">
        <v>414.7</v>
      </c>
      <c r="Y57" s="285">
        <v>382.5</v>
      </c>
      <c r="Z57" s="275" t="s">
        <v>233</v>
      </c>
      <c r="AA57" s="277" t="s">
        <v>276</v>
      </c>
      <c r="AB57" s="157">
        <f t="shared" si="2"/>
        <v>68.594547590799252</v>
      </c>
      <c r="AC57" s="150">
        <f t="shared" si="3"/>
        <v>92.235350856040512</v>
      </c>
      <c r="AD57" s="145">
        <v>318849.09999999998</v>
      </c>
      <c r="AE57" s="145"/>
      <c r="AF57" s="145"/>
    </row>
    <row r="58" spans="1:32" ht="409.6" customHeight="1" x14ac:dyDescent="0.25">
      <c r="A58" s="275" t="s">
        <v>63</v>
      </c>
      <c r="B58" s="276" t="s">
        <v>311</v>
      </c>
      <c r="C58" s="276" t="s">
        <v>27</v>
      </c>
      <c r="D58" s="280">
        <v>0</v>
      </c>
      <c r="E58" s="109">
        <v>15015</v>
      </c>
      <c r="F58" s="279">
        <v>0</v>
      </c>
      <c r="G58" s="279">
        <v>0</v>
      </c>
      <c r="H58" s="279">
        <v>0</v>
      </c>
      <c r="I58" s="280">
        <v>0</v>
      </c>
      <c r="J58" s="279">
        <v>0</v>
      </c>
      <c r="K58" s="280">
        <v>15015</v>
      </c>
      <c r="L58" s="279">
        <v>0</v>
      </c>
      <c r="M58" s="279">
        <v>0</v>
      </c>
      <c r="N58" s="279">
        <v>0</v>
      </c>
      <c r="O58" s="279">
        <v>0</v>
      </c>
      <c r="P58" s="280">
        <v>2699.6</v>
      </c>
      <c r="Q58" s="279">
        <v>0</v>
      </c>
      <c r="R58" s="279">
        <v>0</v>
      </c>
      <c r="S58" s="279">
        <v>0</v>
      </c>
      <c r="T58" s="280">
        <v>0</v>
      </c>
      <c r="U58" s="276"/>
      <c r="V58" s="278"/>
      <c r="W58" s="275" t="s">
        <v>64</v>
      </c>
      <c r="X58" s="284">
        <v>25000</v>
      </c>
      <c r="Y58" s="283">
        <v>2236</v>
      </c>
      <c r="Z58" s="275" t="s">
        <v>233</v>
      </c>
      <c r="AA58" s="277" t="s">
        <v>276</v>
      </c>
      <c r="AB58" s="157">
        <f t="shared" si="2"/>
        <v>17.979353979353981</v>
      </c>
      <c r="AC58" s="150">
        <f t="shared" si="3"/>
        <v>8.9440000000000008</v>
      </c>
      <c r="AD58" s="145">
        <v>970</v>
      </c>
      <c r="AE58" s="145"/>
      <c r="AF58" s="145"/>
    </row>
    <row r="59" spans="1:32" ht="317.25" x14ac:dyDescent="0.25">
      <c r="A59" s="275" t="s">
        <v>235</v>
      </c>
      <c r="B59" s="276" t="s">
        <v>312</v>
      </c>
      <c r="C59" s="276" t="s">
        <v>27</v>
      </c>
      <c r="D59" s="280">
        <v>0</v>
      </c>
      <c r="E59" s="109">
        <v>791975.7</v>
      </c>
      <c r="F59" s="91">
        <v>0</v>
      </c>
      <c r="G59" s="279">
        <v>0</v>
      </c>
      <c r="H59" s="279">
        <v>0</v>
      </c>
      <c r="I59" s="280">
        <v>0</v>
      </c>
      <c r="J59" s="279">
        <v>0</v>
      </c>
      <c r="K59" s="280">
        <v>791975.7</v>
      </c>
      <c r="L59" s="279">
        <v>0</v>
      </c>
      <c r="M59" s="279">
        <v>0</v>
      </c>
      <c r="N59" s="279">
        <v>0</v>
      </c>
      <c r="O59" s="279">
        <v>0</v>
      </c>
      <c r="P59" s="280">
        <v>513970.2</v>
      </c>
      <c r="Q59" s="279">
        <v>0</v>
      </c>
      <c r="R59" s="279">
        <v>0</v>
      </c>
      <c r="S59" s="279">
        <v>0</v>
      </c>
      <c r="T59" s="280">
        <v>4855.5</v>
      </c>
      <c r="U59" s="92"/>
      <c r="V59" s="278"/>
      <c r="W59" s="275" t="s">
        <v>30</v>
      </c>
      <c r="X59" s="283">
        <v>75860</v>
      </c>
      <c r="Y59" s="283">
        <v>67230</v>
      </c>
      <c r="Z59" s="275" t="s">
        <v>233</v>
      </c>
      <c r="AA59" s="277" t="s">
        <v>276</v>
      </c>
      <c r="AB59" s="157">
        <f t="shared" si="2"/>
        <v>64.89721843738387</v>
      </c>
      <c r="AC59" s="150">
        <f t="shared" si="3"/>
        <v>88.623780648563141</v>
      </c>
      <c r="AD59" s="145">
        <v>158618.4</v>
      </c>
      <c r="AE59" s="145"/>
      <c r="AF59" s="145"/>
    </row>
    <row r="60" spans="1:32" ht="409.5" customHeight="1" x14ac:dyDescent="0.25">
      <c r="A60" s="275" t="s">
        <v>236</v>
      </c>
      <c r="B60" s="276" t="s">
        <v>313</v>
      </c>
      <c r="C60" s="276" t="s">
        <v>27</v>
      </c>
      <c r="D60" s="280">
        <v>872276.7</v>
      </c>
      <c r="E60" s="109">
        <v>296115</v>
      </c>
      <c r="F60" s="94">
        <v>0</v>
      </c>
      <c r="G60" s="93">
        <v>0</v>
      </c>
      <c r="H60" s="93">
        <v>0</v>
      </c>
      <c r="I60" s="280">
        <v>872276.7</v>
      </c>
      <c r="J60" s="93">
        <v>0</v>
      </c>
      <c r="K60" s="280">
        <v>296115</v>
      </c>
      <c r="L60" s="93">
        <v>0</v>
      </c>
      <c r="M60" s="93">
        <v>0</v>
      </c>
      <c r="N60" s="93">
        <v>373770.9</v>
      </c>
      <c r="O60" s="93">
        <v>0</v>
      </c>
      <c r="P60" s="280">
        <v>119665.9</v>
      </c>
      <c r="Q60" s="93">
        <v>0</v>
      </c>
      <c r="R60" s="93">
        <v>0</v>
      </c>
      <c r="S60" s="93">
        <v>0</v>
      </c>
      <c r="T60" s="280">
        <v>294.2</v>
      </c>
      <c r="U60" s="96"/>
      <c r="V60" s="17"/>
      <c r="W60" s="90" t="s">
        <v>30</v>
      </c>
      <c r="X60" s="283">
        <v>8315</v>
      </c>
      <c r="Y60" s="283">
        <v>9012</v>
      </c>
      <c r="Z60" s="275" t="s">
        <v>31</v>
      </c>
      <c r="AA60" s="277"/>
      <c r="AB60" s="157">
        <f t="shared" si="2"/>
        <v>40.411968323117705</v>
      </c>
      <c r="AC60" s="150">
        <f t="shared" si="3"/>
        <v>108.38244137101623</v>
      </c>
      <c r="AD60" s="145">
        <v>0</v>
      </c>
      <c r="AE60" s="145"/>
      <c r="AF60" s="145"/>
    </row>
    <row r="61" spans="1:32" ht="394.5" customHeight="1" x14ac:dyDescent="0.25">
      <c r="A61" s="275" t="s">
        <v>237</v>
      </c>
      <c r="B61" s="276" t="s">
        <v>314</v>
      </c>
      <c r="C61" s="276" t="s">
        <v>27</v>
      </c>
      <c r="D61" s="280">
        <v>45874.7</v>
      </c>
      <c r="E61" s="109">
        <v>0</v>
      </c>
      <c r="F61" s="94">
        <v>0</v>
      </c>
      <c r="G61" s="93">
        <v>0</v>
      </c>
      <c r="H61" s="93">
        <v>0</v>
      </c>
      <c r="I61" s="280">
        <v>45874.7</v>
      </c>
      <c r="J61" s="93">
        <v>0</v>
      </c>
      <c r="K61" s="280">
        <v>0</v>
      </c>
      <c r="L61" s="93">
        <v>0</v>
      </c>
      <c r="M61" s="93">
        <v>0</v>
      </c>
      <c r="N61" s="93">
        <v>31757.3</v>
      </c>
      <c r="O61" s="93">
        <v>0</v>
      </c>
      <c r="P61" s="280">
        <v>0</v>
      </c>
      <c r="Q61" s="93">
        <v>0</v>
      </c>
      <c r="R61" s="93">
        <v>0</v>
      </c>
      <c r="S61" s="93">
        <v>0</v>
      </c>
      <c r="T61" s="280">
        <v>0</v>
      </c>
      <c r="U61" s="96"/>
      <c r="V61" s="17"/>
      <c r="W61" s="90" t="s">
        <v>30</v>
      </c>
      <c r="X61" s="283">
        <v>26</v>
      </c>
      <c r="Y61" s="283">
        <v>16</v>
      </c>
      <c r="Z61" s="275" t="s">
        <v>233</v>
      </c>
      <c r="AA61" s="277" t="s">
        <v>277</v>
      </c>
      <c r="AB61" s="157" t="e">
        <f t="shared" si="2"/>
        <v>#DIV/0!</v>
      </c>
      <c r="AC61" s="150"/>
      <c r="AD61" s="145">
        <v>0</v>
      </c>
      <c r="AE61" s="145"/>
      <c r="AF61" s="145"/>
    </row>
    <row r="62" spans="1:32" ht="409.6" customHeight="1" x14ac:dyDescent="0.25">
      <c r="A62" s="281" t="s">
        <v>67</v>
      </c>
      <c r="B62" s="276" t="s">
        <v>315</v>
      </c>
      <c r="C62" s="276" t="s">
        <v>27</v>
      </c>
      <c r="D62" s="280">
        <v>57361.5</v>
      </c>
      <c r="E62" s="109">
        <v>0</v>
      </c>
      <c r="F62" s="91">
        <v>0</v>
      </c>
      <c r="G62" s="279">
        <v>0</v>
      </c>
      <c r="H62" s="279">
        <v>0</v>
      </c>
      <c r="I62" s="280">
        <v>57361.5</v>
      </c>
      <c r="J62" s="279">
        <v>0</v>
      </c>
      <c r="K62" s="280">
        <v>0</v>
      </c>
      <c r="L62" s="279">
        <v>0</v>
      </c>
      <c r="M62" s="279">
        <v>0</v>
      </c>
      <c r="N62" s="279">
        <v>4317.3</v>
      </c>
      <c r="O62" s="279">
        <v>0</v>
      </c>
      <c r="P62" s="280">
        <v>0</v>
      </c>
      <c r="Q62" s="279">
        <v>0</v>
      </c>
      <c r="R62" s="279">
        <v>0</v>
      </c>
      <c r="S62" s="279">
        <v>0</v>
      </c>
      <c r="T62" s="280">
        <v>0</v>
      </c>
      <c r="U62" s="96"/>
      <c r="V62" s="278"/>
      <c r="W62" s="275" t="s">
        <v>30</v>
      </c>
      <c r="X62" s="283">
        <v>64</v>
      </c>
      <c r="Y62" s="283">
        <v>3</v>
      </c>
      <c r="Z62" s="275" t="s">
        <v>233</v>
      </c>
      <c r="AA62" s="277" t="s">
        <v>277</v>
      </c>
      <c r="AB62" s="157" t="e">
        <f t="shared" si="2"/>
        <v>#DIV/0!</v>
      </c>
      <c r="AC62" s="150">
        <f t="shared" si="3"/>
        <v>4.6875</v>
      </c>
      <c r="AD62" s="145">
        <v>0</v>
      </c>
      <c r="AE62" s="145"/>
      <c r="AF62" s="145"/>
    </row>
    <row r="63" spans="1:32" ht="408.75" customHeight="1" x14ac:dyDescent="0.25">
      <c r="A63" s="281" t="s">
        <v>68</v>
      </c>
      <c r="B63" s="276" t="s">
        <v>316</v>
      </c>
      <c r="C63" s="97" t="s">
        <v>27</v>
      </c>
      <c r="D63" s="280">
        <v>34687.800000000003</v>
      </c>
      <c r="E63" s="280">
        <v>0</v>
      </c>
      <c r="F63" s="93" t="s">
        <v>69</v>
      </c>
      <c r="G63" s="93" t="s">
        <v>69</v>
      </c>
      <c r="H63" s="93" t="s">
        <v>69</v>
      </c>
      <c r="I63" s="280">
        <v>34687.800000000003</v>
      </c>
      <c r="J63" s="93" t="s">
        <v>69</v>
      </c>
      <c r="K63" s="280">
        <v>0</v>
      </c>
      <c r="L63" s="93" t="s">
        <v>69</v>
      </c>
      <c r="M63" s="93"/>
      <c r="N63" s="93">
        <v>34628.400000000001</v>
      </c>
      <c r="O63" s="93" t="s">
        <v>69</v>
      </c>
      <c r="P63" s="280">
        <v>0</v>
      </c>
      <c r="Q63" s="93" t="s">
        <v>69</v>
      </c>
      <c r="R63" s="93" t="s">
        <v>69</v>
      </c>
      <c r="S63" s="93" t="s">
        <v>69</v>
      </c>
      <c r="T63" s="280">
        <v>0</v>
      </c>
      <c r="U63" s="96"/>
      <c r="V63" s="281"/>
      <c r="W63" s="281" t="s">
        <v>70</v>
      </c>
      <c r="X63" s="281" t="s">
        <v>406</v>
      </c>
      <c r="Y63" s="281" t="s">
        <v>413</v>
      </c>
      <c r="Z63" s="275" t="s">
        <v>233</v>
      </c>
      <c r="AA63" s="277" t="s">
        <v>277</v>
      </c>
      <c r="AB63" s="157" t="e">
        <f t="shared" si="2"/>
        <v>#DIV/0!</v>
      </c>
      <c r="AC63" s="150">
        <f t="shared" si="3"/>
        <v>42.5</v>
      </c>
      <c r="AD63" s="145">
        <v>0</v>
      </c>
      <c r="AE63" s="145"/>
      <c r="AF63" s="145"/>
    </row>
    <row r="64" spans="1:32" ht="408.75" customHeight="1" x14ac:dyDescent="0.25">
      <c r="A64" s="281" t="s">
        <v>228</v>
      </c>
      <c r="B64" s="276" t="s">
        <v>317</v>
      </c>
      <c r="C64" s="97" t="s">
        <v>27</v>
      </c>
      <c r="D64" s="280">
        <v>0</v>
      </c>
      <c r="E64" s="280">
        <v>57360</v>
      </c>
      <c r="F64" s="93">
        <v>0</v>
      </c>
      <c r="G64" s="93">
        <v>0</v>
      </c>
      <c r="H64" s="93">
        <v>0</v>
      </c>
      <c r="I64" s="280"/>
      <c r="J64" s="93"/>
      <c r="K64" s="280">
        <v>57360</v>
      </c>
      <c r="L64" s="93">
        <v>0</v>
      </c>
      <c r="M64" s="93">
        <v>0</v>
      </c>
      <c r="N64" s="279">
        <v>0</v>
      </c>
      <c r="O64" s="93">
        <v>0</v>
      </c>
      <c r="P64" s="280">
        <v>6836.1</v>
      </c>
      <c r="Q64" s="93">
        <v>0</v>
      </c>
      <c r="R64" s="93">
        <v>0</v>
      </c>
      <c r="S64" s="93">
        <v>0</v>
      </c>
      <c r="T64" s="280">
        <v>78.400000000000006</v>
      </c>
      <c r="U64" s="96"/>
      <c r="V64" s="281"/>
      <c r="W64" s="281" t="s">
        <v>30</v>
      </c>
      <c r="X64" s="281" t="s">
        <v>374</v>
      </c>
      <c r="Y64" s="281" t="s">
        <v>425</v>
      </c>
      <c r="Z64" s="281" t="s">
        <v>233</v>
      </c>
      <c r="AA64" s="277" t="s">
        <v>276</v>
      </c>
      <c r="AB64" s="157">
        <f t="shared" si="2"/>
        <v>11.917887029288703</v>
      </c>
      <c r="AC64" s="150">
        <f t="shared" si="3"/>
        <v>11.866759195003469</v>
      </c>
      <c r="AD64" s="145">
        <v>2763.8</v>
      </c>
      <c r="AE64" s="145"/>
      <c r="AF64" s="145"/>
    </row>
    <row r="65" spans="1:34" ht="153" customHeight="1" x14ac:dyDescent="0.6">
      <c r="A65" s="281" t="s">
        <v>71</v>
      </c>
      <c r="B65" s="10" t="s">
        <v>72</v>
      </c>
      <c r="C65" s="10"/>
      <c r="D65" s="108">
        <f>D66+D69+D75+D76+D78+D79+D80+D82+D77</f>
        <v>0</v>
      </c>
      <c r="E65" s="108">
        <f>E66+E69+E75+E76+E78+E79+E80+E82+E77+E84+E83</f>
        <v>12439328.1</v>
      </c>
      <c r="F65" s="11">
        <f>F66+F69+F75+F76+F78+F79+F80+F82+F77</f>
        <v>0</v>
      </c>
      <c r="G65" s="11">
        <f>G66+G69+G75+G76+G78+G79+G80+G82+G77</f>
        <v>0</v>
      </c>
      <c r="H65" s="11">
        <f>H66+H69+H75+H76+H78+H79+H80+H82+H77</f>
        <v>0</v>
      </c>
      <c r="I65" s="108">
        <f>I66+I69+I75+I76+I78+I79+I80+I82+I77</f>
        <v>0</v>
      </c>
      <c r="J65" s="11">
        <f>J66+J69+J75+J76+J78+J79+J80+J82+J77</f>
        <v>0</v>
      </c>
      <c r="K65" s="108">
        <f>K66+K69+K75+K76+K78+K79+K80+K82+K77+K83+K84</f>
        <v>12439328.1</v>
      </c>
      <c r="L65" s="11">
        <f t="shared" ref="L65:T65" si="4">L66+L69+L75+L76+L78+L79+L80+L82+L77</f>
        <v>0</v>
      </c>
      <c r="M65" s="11">
        <f t="shared" si="4"/>
        <v>0</v>
      </c>
      <c r="N65" s="11">
        <f t="shared" si="4"/>
        <v>0</v>
      </c>
      <c r="O65" s="11">
        <f t="shared" si="4"/>
        <v>0</v>
      </c>
      <c r="P65" s="108">
        <f>P66+P69+P75+P76+P78+P79+P80+P82+P77+P84+P83</f>
        <v>8983247.1000000015</v>
      </c>
      <c r="Q65" s="11">
        <f t="shared" si="4"/>
        <v>0</v>
      </c>
      <c r="R65" s="11">
        <f t="shared" si="4"/>
        <v>0</v>
      </c>
      <c r="S65" s="11">
        <f t="shared" si="4"/>
        <v>0</v>
      </c>
      <c r="T65" s="108">
        <f t="shared" si="4"/>
        <v>1406946.6</v>
      </c>
      <c r="U65" s="9" t="s">
        <v>24</v>
      </c>
      <c r="V65" s="9" t="s">
        <v>24</v>
      </c>
      <c r="W65" s="278" t="s">
        <v>24</v>
      </c>
      <c r="X65" s="9" t="s">
        <v>24</v>
      </c>
      <c r="Y65" s="9" t="s">
        <v>24</v>
      </c>
      <c r="Z65" s="9" t="s">
        <v>24</v>
      </c>
      <c r="AA65" s="18"/>
      <c r="AB65" s="157">
        <f t="shared" si="2"/>
        <v>72.216497770486512</v>
      </c>
      <c r="AC65" s="150"/>
      <c r="AD65" s="145"/>
      <c r="AE65" s="145"/>
      <c r="AF65" s="145"/>
      <c r="AH65" s="13"/>
    </row>
    <row r="66" spans="1:34" ht="352.5" x14ac:dyDescent="0.25">
      <c r="A66" s="281" t="s">
        <v>73</v>
      </c>
      <c r="B66" s="276" t="s">
        <v>318</v>
      </c>
      <c r="C66" s="276" t="s">
        <v>27</v>
      </c>
      <c r="D66" s="280">
        <v>0</v>
      </c>
      <c r="E66" s="109">
        <f>E67+E68</f>
        <v>12460.7</v>
      </c>
      <c r="F66" s="279">
        <v>0</v>
      </c>
      <c r="G66" s="279">
        <v>0</v>
      </c>
      <c r="H66" s="279">
        <v>0</v>
      </c>
      <c r="I66" s="280">
        <v>0</v>
      </c>
      <c r="J66" s="279">
        <v>0</v>
      </c>
      <c r="K66" s="280">
        <f>K67+K68</f>
        <v>12460.7</v>
      </c>
      <c r="L66" s="279">
        <v>0</v>
      </c>
      <c r="M66" s="279">
        <v>0</v>
      </c>
      <c r="N66" s="279">
        <v>0</v>
      </c>
      <c r="O66" s="279">
        <v>0</v>
      </c>
      <c r="P66" s="280">
        <f>P67+P68</f>
        <v>6860.5</v>
      </c>
      <c r="Q66" s="279">
        <v>0</v>
      </c>
      <c r="R66" s="279">
        <v>0</v>
      </c>
      <c r="S66" s="279">
        <v>0</v>
      </c>
      <c r="T66" s="280">
        <f>T67+T68</f>
        <v>13322.2</v>
      </c>
      <c r="U66" s="92"/>
      <c r="V66" s="278"/>
      <c r="W66" s="278" t="s">
        <v>30</v>
      </c>
      <c r="X66" s="283">
        <v>2275</v>
      </c>
      <c r="Y66" s="283">
        <v>1410</v>
      </c>
      <c r="Z66" s="275" t="s">
        <v>233</v>
      </c>
      <c r="AA66" s="276" t="s">
        <v>431</v>
      </c>
      <c r="AB66" s="157">
        <f t="shared" si="2"/>
        <v>55.057099520893679</v>
      </c>
      <c r="AC66" s="150">
        <f t="shared" si="3"/>
        <v>61.978021978021978</v>
      </c>
      <c r="AD66" s="145">
        <f>AD67+AD68</f>
        <v>1457.6</v>
      </c>
      <c r="AE66" s="145"/>
      <c r="AF66" s="145"/>
    </row>
    <row r="67" spans="1:34" ht="211.5" x14ac:dyDescent="0.25">
      <c r="A67" s="281" t="s">
        <v>26</v>
      </c>
      <c r="B67" s="276" t="s">
        <v>75</v>
      </c>
      <c r="C67" s="276" t="s">
        <v>27</v>
      </c>
      <c r="D67" s="280">
        <v>0</v>
      </c>
      <c r="E67" s="280">
        <v>7308</v>
      </c>
      <c r="F67" s="279">
        <v>0</v>
      </c>
      <c r="G67" s="279">
        <v>0</v>
      </c>
      <c r="H67" s="279">
        <v>0</v>
      </c>
      <c r="I67" s="280">
        <v>0</v>
      </c>
      <c r="J67" s="279">
        <v>0</v>
      </c>
      <c r="K67" s="280">
        <v>7308</v>
      </c>
      <c r="L67" s="279">
        <v>0</v>
      </c>
      <c r="M67" s="279">
        <v>0</v>
      </c>
      <c r="N67" s="279">
        <v>0</v>
      </c>
      <c r="O67" s="279">
        <v>0</v>
      </c>
      <c r="P67" s="280">
        <v>2623.8</v>
      </c>
      <c r="Q67" s="279">
        <v>0</v>
      </c>
      <c r="R67" s="279">
        <v>0</v>
      </c>
      <c r="S67" s="279">
        <v>0</v>
      </c>
      <c r="T67" s="280">
        <v>2550.1999999999998</v>
      </c>
      <c r="U67" s="98"/>
      <c r="V67" s="278" t="s">
        <v>24</v>
      </c>
      <c r="W67" s="278" t="s">
        <v>24</v>
      </c>
      <c r="X67" s="275">
        <v>1119</v>
      </c>
      <c r="Y67" s="278">
        <v>880</v>
      </c>
      <c r="Z67" s="278" t="s">
        <v>24</v>
      </c>
      <c r="AA67" s="276" t="s">
        <v>276</v>
      </c>
      <c r="AB67" s="157">
        <f t="shared" si="2"/>
        <v>35.903119868637113</v>
      </c>
      <c r="AC67" s="150"/>
      <c r="AD67" s="145">
        <v>347.3</v>
      </c>
      <c r="AE67" s="145"/>
      <c r="AF67" s="145"/>
    </row>
    <row r="68" spans="1:34" ht="211.5" x14ac:dyDescent="0.25">
      <c r="A68" s="281" t="s">
        <v>32</v>
      </c>
      <c r="B68" s="276" t="s">
        <v>77</v>
      </c>
      <c r="C68" s="276" t="s">
        <v>27</v>
      </c>
      <c r="D68" s="280">
        <v>0</v>
      </c>
      <c r="E68" s="280">
        <v>5152.7</v>
      </c>
      <c r="F68" s="279">
        <v>0</v>
      </c>
      <c r="G68" s="279">
        <v>0</v>
      </c>
      <c r="H68" s="279">
        <v>0</v>
      </c>
      <c r="I68" s="280">
        <v>0</v>
      </c>
      <c r="J68" s="279">
        <v>0</v>
      </c>
      <c r="K68" s="280">
        <v>5152.7</v>
      </c>
      <c r="L68" s="279">
        <v>0</v>
      </c>
      <c r="M68" s="279">
        <v>0</v>
      </c>
      <c r="N68" s="279">
        <v>0</v>
      </c>
      <c r="O68" s="279">
        <v>0</v>
      </c>
      <c r="P68" s="280">
        <v>4236.7</v>
      </c>
      <c r="Q68" s="279">
        <v>0</v>
      </c>
      <c r="R68" s="279">
        <v>0</v>
      </c>
      <c r="S68" s="279">
        <v>0</v>
      </c>
      <c r="T68" s="280">
        <f>10772</f>
        <v>10772</v>
      </c>
      <c r="U68" s="92"/>
      <c r="V68" s="278" t="s">
        <v>24</v>
      </c>
      <c r="W68" s="278" t="s">
        <v>24</v>
      </c>
      <c r="X68" s="275">
        <v>1156</v>
      </c>
      <c r="Y68" s="278">
        <v>530</v>
      </c>
      <c r="Z68" s="278" t="s">
        <v>24</v>
      </c>
      <c r="AA68" s="276" t="s">
        <v>276</v>
      </c>
      <c r="AB68" s="157">
        <f t="shared" si="2"/>
        <v>82.222912259592064</v>
      </c>
      <c r="AC68" s="150"/>
      <c r="AD68" s="145">
        <v>1110.3</v>
      </c>
      <c r="AE68" s="145"/>
      <c r="AF68" s="145"/>
    </row>
    <row r="69" spans="1:34" ht="308.25" customHeight="1" x14ac:dyDescent="0.25">
      <c r="A69" s="281" t="s">
        <v>78</v>
      </c>
      <c r="B69" s="276" t="s">
        <v>79</v>
      </c>
      <c r="C69" s="276" t="s">
        <v>27</v>
      </c>
      <c r="D69" s="280">
        <v>0</v>
      </c>
      <c r="E69" s="280">
        <f>E70+E71</f>
        <v>12354518.4</v>
      </c>
      <c r="F69" s="279">
        <v>0</v>
      </c>
      <c r="G69" s="279">
        <v>0</v>
      </c>
      <c r="H69" s="279">
        <v>0</v>
      </c>
      <c r="I69" s="280">
        <v>0</v>
      </c>
      <c r="J69" s="279">
        <v>0</v>
      </c>
      <c r="K69" s="280">
        <f>K70+K71</f>
        <v>12354518.4</v>
      </c>
      <c r="L69" s="279">
        <v>0</v>
      </c>
      <c r="M69" s="279">
        <v>0</v>
      </c>
      <c r="N69" s="279">
        <v>0</v>
      </c>
      <c r="O69" s="279">
        <v>0</v>
      </c>
      <c r="P69" s="280">
        <f>P70+P71</f>
        <v>8946478</v>
      </c>
      <c r="Q69" s="279">
        <v>0</v>
      </c>
      <c r="R69" s="279">
        <v>0</v>
      </c>
      <c r="S69" s="279">
        <v>0</v>
      </c>
      <c r="T69" s="280">
        <f>T70+T72+T73+T74</f>
        <v>1373997.2</v>
      </c>
      <c r="U69" s="95"/>
      <c r="V69" s="278" t="s">
        <v>24</v>
      </c>
      <c r="W69" s="278" t="s">
        <v>24</v>
      </c>
      <c r="X69" s="278" t="s">
        <v>24</v>
      </c>
      <c r="Y69" s="278" t="s">
        <v>24</v>
      </c>
      <c r="Z69" s="278" t="s">
        <v>24</v>
      </c>
      <c r="AA69" s="12"/>
      <c r="AB69" s="157">
        <f t="shared" si="2"/>
        <v>72.414623624665126</v>
      </c>
      <c r="AC69" s="150"/>
      <c r="AD69" s="145">
        <v>2254760.2999999998</v>
      </c>
      <c r="AE69" s="145"/>
      <c r="AF69" s="145"/>
    </row>
    <row r="70" spans="1:34" ht="409.6" customHeight="1" x14ac:dyDescent="0.25">
      <c r="A70" s="281" t="s">
        <v>80</v>
      </c>
      <c r="B70" s="276" t="s">
        <v>81</v>
      </c>
      <c r="C70" s="276" t="s">
        <v>27</v>
      </c>
      <c r="D70" s="280">
        <v>0</v>
      </c>
      <c r="E70" s="280">
        <v>1749626.8</v>
      </c>
      <c r="F70" s="93">
        <v>0</v>
      </c>
      <c r="G70" s="93">
        <v>0</v>
      </c>
      <c r="H70" s="93">
        <v>0</v>
      </c>
      <c r="I70" s="280">
        <v>0</v>
      </c>
      <c r="J70" s="93">
        <v>0</v>
      </c>
      <c r="K70" s="280">
        <v>1749626.8</v>
      </c>
      <c r="L70" s="93">
        <v>0</v>
      </c>
      <c r="M70" s="93">
        <v>0</v>
      </c>
      <c r="N70" s="93">
        <v>0</v>
      </c>
      <c r="O70" s="93">
        <v>0</v>
      </c>
      <c r="P70" s="280">
        <v>1021175.9</v>
      </c>
      <c r="Q70" s="93">
        <v>0</v>
      </c>
      <c r="R70" s="93">
        <v>0</v>
      </c>
      <c r="S70" s="93">
        <v>0</v>
      </c>
      <c r="T70" s="280">
        <v>117077.8</v>
      </c>
      <c r="U70" s="95"/>
      <c r="V70" s="17"/>
      <c r="W70" s="90" t="s">
        <v>82</v>
      </c>
      <c r="X70" s="278">
        <v>100</v>
      </c>
      <c r="Y70" s="278">
        <v>100</v>
      </c>
      <c r="Z70" s="275" t="s">
        <v>233</v>
      </c>
      <c r="AA70" s="276" t="s">
        <v>276</v>
      </c>
      <c r="AB70" s="157">
        <f t="shared" si="2"/>
        <v>58.365355400363093</v>
      </c>
      <c r="AC70" s="150">
        <f t="shared" si="3"/>
        <v>100</v>
      </c>
      <c r="AD70" s="145">
        <v>148861</v>
      </c>
      <c r="AE70" s="145"/>
      <c r="AF70" s="145"/>
    </row>
    <row r="71" spans="1:34" ht="211.5" x14ac:dyDescent="0.25">
      <c r="A71" s="281" t="s">
        <v>83</v>
      </c>
      <c r="B71" s="276" t="s">
        <v>84</v>
      </c>
      <c r="C71" s="276" t="s">
        <v>27</v>
      </c>
      <c r="D71" s="280">
        <v>0</v>
      </c>
      <c r="E71" s="109">
        <f>E72+E73+E74</f>
        <v>10604891.6</v>
      </c>
      <c r="F71" s="91">
        <v>0</v>
      </c>
      <c r="G71" s="279">
        <v>0</v>
      </c>
      <c r="H71" s="279">
        <v>0</v>
      </c>
      <c r="I71" s="280">
        <v>0</v>
      </c>
      <c r="J71" s="279">
        <v>0</v>
      </c>
      <c r="K71" s="280">
        <f>K72+K73+K74</f>
        <v>10604891.6</v>
      </c>
      <c r="L71" s="279">
        <v>0</v>
      </c>
      <c r="M71" s="279">
        <v>0</v>
      </c>
      <c r="N71" s="279">
        <v>0</v>
      </c>
      <c r="O71" s="279">
        <v>0</v>
      </c>
      <c r="P71" s="280">
        <f>P72+P73+P74</f>
        <v>7925302.1000000006</v>
      </c>
      <c r="Q71" s="279">
        <v>0</v>
      </c>
      <c r="R71" s="279">
        <v>0</v>
      </c>
      <c r="S71" s="279">
        <v>0</v>
      </c>
      <c r="T71" s="280">
        <f>T72+T73+T74</f>
        <v>1256919.3999999999</v>
      </c>
      <c r="U71" s="278"/>
      <c r="V71" s="278" t="s">
        <v>24</v>
      </c>
      <c r="W71" s="278" t="s">
        <v>24</v>
      </c>
      <c r="X71" s="278" t="s">
        <v>24</v>
      </c>
      <c r="Y71" s="278"/>
      <c r="Z71" s="278" t="s">
        <v>24</v>
      </c>
      <c r="AA71" s="12"/>
      <c r="AB71" s="157">
        <f t="shared" si="2"/>
        <v>74.732514003254877</v>
      </c>
      <c r="AC71" s="150"/>
      <c r="AD71" s="145">
        <v>2105899.2999999998</v>
      </c>
      <c r="AE71" s="145"/>
      <c r="AF71" s="145"/>
    </row>
    <row r="72" spans="1:34" ht="394.5" customHeight="1" x14ac:dyDescent="0.25">
      <c r="A72" s="281" t="s">
        <v>85</v>
      </c>
      <c r="B72" s="276" t="s">
        <v>86</v>
      </c>
      <c r="C72" s="276" t="s">
        <v>27</v>
      </c>
      <c r="D72" s="280">
        <v>0</v>
      </c>
      <c r="E72" s="109">
        <v>10484691.6</v>
      </c>
      <c r="F72" s="91">
        <v>0</v>
      </c>
      <c r="G72" s="279">
        <v>0</v>
      </c>
      <c r="H72" s="279">
        <v>0</v>
      </c>
      <c r="I72" s="280">
        <v>0</v>
      </c>
      <c r="J72" s="279">
        <v>0</v>
      </c>
      <c r="K72" s="280">
        <v>10484691.6</v>
      </c>
      <c r="L72" s="279">
        <v>0</v>
      </c>
      <c r="M72" s="279">
        <v>0</v>
      </c>
      <c r="N72" s="279">
        <v>0</v>
      </c>
      <c r="O72" s="279">
        <v>0</v>
      </c>
      <c r="P72" s="280">
        <v>7825515.4000000004</v>
      </c>
      <c r="Q72" s="279">
        <v>0</v>
      </c>
      <c r="R72" s="279">
        <v>0</v>
      </c>
      <c r="S72" s="279">
        <v>0</v>
      </c>
      <c r="T72" s="280">
        <v>1179250.8999999999</v>
      </c>
      <c r="U72" s="276"/>
      <c r="V72" s="278"/>
      <c r="W72" s="275" t="s">
        <v>30</v>
      </c>
      <c r="X72" s="284">
        <v>178173</v>
      </c>
      <c r="Y72" s="284">
        <f>680+21649+93445+997+2518+5804+9041</f>
        <v>134134</v>
      </c>
      <c r="Z72" s="275" t="s">
        <v>233</v>
      </c>
      <c r="AA72" s="276" t="s">
        <v>276</v>
      </c>
      <c r="AB72" s="157">
        <f t="shared" si="2"/>
        <v>74.637535356786273</v>
      </c>
      <c r="AC72" s="150">
        <f t="shared" si="3"/>
        <v>75.283011455158757</v>
      </c>
      <c r="AD72" s="145">
        <v>2093293</v>
      </c>
      <c r="AE72" s="145"/>
      <c r="AF72" s="145"/>
      <c r="AG72" s="210"/>
    </row>
    <row r="73" spans="1:34" ht="211.5" x14ac:dyDescent="0.25">
      <c r="A73" s="281" t="s">
        <v>87</v>
      </c>
      <c r="B73" s="276" t="s">
        <v>88</v>
      </c>
      <c r="C73" s="276" t="s">
        <v>27</v>
      </c>
      <c r="D73" s="280">
        <v>0</v>
      </c>
      <c r="E73" s="280">
        <v>94654.3</v>
      </c>
      <c r="F73" s="279">
        <v>0</v>
      </c>
      <c r="G73" s="279">
        <v>0</v>
      </c>
      <c r="H73" s="279">
        <v>0</v>
      </c>
      <c r="I73" s="280">
        <v>0</v>
      </c>
      <c r="J73" s="279">
        <v>0</v>
      </c>
      <c r="K73" s="280">
        <v>94654.3</v>
      </c>
      <c r="L73" s="279">
        <v>0</v>
      </c>
      <c r="M73" s="279">
        <v>0</v>
      </c>
      <c r="N73" s="279">
        <v>0</v>
      </c>
      <c r="O73" s="279">
        <v>0</v>
      </c>
      <c r="P73" s="280">
        <v>83346.2</v>
      </c>
      <c r="Q73" s="279">
        <v>0</v>
      </c>
      <c r="R73" s="279">
        <v>0</v>
      </c>
      <c r="S73" s="279">
        <v>0</v>
      </c>
      <c r="T73" s="280">
        <v>72715</v>
      </c>
      <c r="U73" s="276"/>
      <c r="V73" s="278"/>
      <c r="W73" s="275" t="s">
        <v>82</v>
      </c>
      <c r="X73" s="278">
        <v>17</v>
      </c>
      <c r="Y73" s="278">
        <v>11</v>
      </c>
      <c r="Z73" s="275" t="s">
        <v>233</v>
      </c>
      <c r="AA73" s="276" t="s">
        <v>276</v>
      </c>
      <c r="AB73" s="157">
        <f t="shared" si="2"/>
        <v>88.053263296015075</v>
      </c>
      <c r="AC73" s="150">
        <f t="shared" si="3"/>
        <v>64.705882352941174</v>
      </c>
      <c r="AD73" s="145">
        <v>4717.5</v>
      </c>
      <c r="AE73" s="145"/>
      <c r="AF73" s="145"/>
    </row>
    <row r="74" spans="1:34" ht="409.6" customHeight="1" x14ac:dyDescent="0.25">
      <c r="A74" s="281" t="s">
        <v>89</v>
      </c>
      <c r="B74" s="276" t="s">
        <v>319</v>
      </c>
      <c r="C74" s="276" t="s">
        <v>27</v>
      </c>
      <c r="D74" s="280">
        <v>0</v>
      </c>
      <c r="E74" s="280">
        <v>25545.7</v>
      </c>
      <c r="F74" s="93">
        <v>0</v>
      </c>
      <c r="G74" s="93">
        <v>0</v>
      </c>
      <c r="H74" s="93">
        <v>0</v>
      </c>
      <c r="I74" s="280">
        <v>0</v>
      </c>
      <c r="J74" s="93">
        <v>0</v>
      </c>
      <c r="K74" s="280">
        <v>25545.7</v>
      </c>
      <c r="L74" s="93">
        <v>0</v>
      </c>
      <c r="M74" s="93">
        <v>0</v>
      </c>
      <c r="N74" s="93">
        <v>0</v>
      </c>
      <c r="O74" s="93">
        <v>0</v>
      </c>
      <c r="P74" s="280">
        <v>16440.5</v>
      </c>
      <c r="Q74" s="93">
        <v>0</v>
      </c>
      <c r="R74" s="93">
        <v>0</v>
      </c>
      <c r="S74" s="93">
        <v>0</v>
      </c>
      <c r="T74" s="280">
        <v>4953.5</v>
      </c>
      <c r="U74" s="276"/>
      <c r="V74" s="90"/>
      <c r="W74" s="17" t="s">
        <v>409</v>
      </c>
      <c r="X74" s="283">
        <v>9646</v>
      </c>
      <c r="Y74" s="283">
        <v>8708</v>
      </c>
      <c r="Z74" s="275" t="s">
        <v>233</v>
      </c>
      <c r="AA74" s="276" t="s">
        <v>276</v>
      </c>
      <c r="AB74" s="157">
        <f t="shared" si="2"/>
        <v>64.357210802600832</v>
      </c>
      <c r="AC74" s="150">
        <f t="shared" si="3"/>
        <v>90.275761973875177</v>
      </c>
      <c r="AD74" s="145">
        <v>7888.8</v>
      </c>
      <c r="AE74" s="145"/>
      <c r="AF74" s="145"/>
    </row>
    <row r="75" spans="1:34" ht="408.75" customHeight="1" x14ac:dyDescent="0.25">
      <c r="A75" s="281" t="s">
        <v>41</v>
      </c>
      <c r="B75" s="276" t="s">
        <v>320</v>
      </c>
      <c r="C75" s="276" t="s">
        <v>27</v>
      </c>
      <c r="D75" s="280">
        <v>0</v>
      </c>
      <c r="E75" s="280">
        <v>1633.6</v>
      </c>
      <c r="F75" s="93">
        <v>0</v>
      </c>
      <c r="G75" s="93">
        <v>0</v>
      </c>
      <c r="H75" s="93">
        <v>0</v>
      </c>
      <c r="I75" s="280">
        <v>0</v>
      </c>
      <c r="J75" s="93">
        <v>0</v>
      </c>
      <c r="K75" s="280">
        <v>1633.6</v>
      </c>
      <c r="L75" s="93">
        <v>0</v>
      </c>
      <c r="M75" s="93">
        <v>0</v>
      </c>
      <c r="N75" s="93">
        <v>0</v>
      </c>
      <c r="O75" s="93">
        <v>0</v>
      </c>
      <c r="P75" s="280">
        <v>1633.6</v>
      </c>
      <c r="Q75" s="93">
        <v>0</v>
      </c>
      <c r="R75" s="93">
        <v>0</v>
      </c>
      <c r="S75" s="93">
        <v>0</v>
      </c>
      <c r="T75" s="280">
        <v>658.8</v>
      </c>
      <c r="U75" s="96"/>
      <c r="V75" s="90"/>
      <c r="W75" s="90" t="s">
        <v>82</v>
      </c>
      <c r="X75" s="278">
        <v>4</v>
      </c>
      <c r="Y75" s="278">
        <v>0</v>
      </c>
      <c r="Z75" s="275" t="s">
        <v>233</v>
      </c>
      <c r="AA75" s="277" t="s">
        <v>446</v>
      </c>
      <c r="AB75" s="157">
        <f t="shared" si="2"/>
        <v>100</v>
      </c>
      <c r="AC75" s="150">
        <f t="shared" si="3"/>
        <v>0</v>
      </c>
      <c r="AD75" s="145">
        <v>0</v>
      </c>
      <c r="AE75" s="145"/>
      <c r="AF75" s="145"/>
    </row>
    <row r="76" spans="1:34" ht="408.75" customHeight="1" x14ac:dyDescent="0.25">
      <c r="A76" s="275" t="s">
        <v>43</v>
      </c>
      <c r="B76" s="276" t="s">
        <v>321</v>
      </c>
      <c r="C76" s="276" t="s">
        <v>27</v>
      </c>
      <c r="D76" s="280">
        <v>0</v>
      </c>
      <c r="E76" s="280">
        <v>12262.9</v>
      </c>
      <c r="F76" s="93">
        <v>0</v>
      </c>
      <c r="G76" s="93">
        <v>0</v>
      </c>
      <c r="H76" s="93">
        <v>0</v>
      </c>
      <c r="I76" s="280">
        <v>0</v>
      </c>
      <c r="J76" s="93">
        <v>0</v>
      </c>
      <c r="K76" s="280">
        <v>12262.9</v>
      </c>
      <c r="L76" s="93">
        <v>0</v>
      </c>
      <c r="M76" s="93">
        <v>0</v>
      </c>
      <c r="N76" s="93">
        <v>0</v>
      </c>
      <c r="O76" s="93">
        <v>0</v>
      </c>
      <c r="P76" s="280">
        <v>12262.9</v>
      </c>
      <c r="Q76" s="93">
        <v>0</v>
      </c>
      <c r="R76" s="93">
        <v>0</v>
      </c>
      <c r="S76" s="93">
        <v>0</v>
      </c>
      <c r="T76" s="280">
        <v>6965.8</v>
      </c>
      <c r="U76" s="90"/>
      <c r="V76" s="90"/>
      <c r="W76" s="90" t="s">
        <v>90</v>
      </c>
      <c r="X76" s="278">
        <v>8</v>
      </c>
      <c r="Y76" s="278">
        <v>8</v>
      </c>
      <c r="Z76" s="275" t="s">
        <v>31</v>
      </c>
      <c r="AA76" s="276"/>
      <c r="AB76" s="157">
        <f t="shared" si="2"/>
        <v>100</v>
      </c>
      <c r="AC76" s="150">
        <f t="shared" si="3"/>
        <v>100</v>
      </c>
      <c r="AD76" s="145">
        <v>0</v>
      </c>
      <c r="AE76" s="145"/>
      <c r="AF76" s="145"/>
    </row>
    <row r="77" spans="1:34" ht="408" customHeight="1" x14ac:dyDescent="0.25">
      <c r="A77" s="275" t="s">
        <v>91</v>
      </c>
      <c r="B77" s="276" t="s">
        <v>322</v>
      </c>
      <c r="C77" s="276" t="s">
        <v>27</v>
      </c>
      <c r="D77" s="280">
        <v>0</v>
      </c>
      <c r="E77" s="280">
        <v>1260</v>
      </c>
      <c r="F77" s="93">
        <v>0</v>
      </c>
      <c r="G77" s="93">
        <v>0</v>
      </c>
      <c r="H77" s="93">
        <v>0</v>
      </c>
      <c r="I77" s="280">
        <v>0</v>
      </c>
      <c r="J77" s="93">
        <v>0</v>
      </c>
      <c r="K77" s="280">
        <v>1260</v>
      </c>
      <c r="L77" s="93">
        <v>0</v>
      </c>
      <c r="M77" s="93">
        <v>0</v>
      </c>
      <c r="N77" s="93">
        <v>0</v>
      </c>
      <c r="O77" s="93">
        <v>0</v>
      </c>
      <c r="P77" s="280">
        <v>1260</v>
      </c>
      <c r="Q77" s="93">
        <v>0</v>
      </c>
      <c r="R77" s="93">
        <v>0</v>
      </c>
      <c r="S77" s="93">
        <v>0</v>
      </c>
      <c r="T77" s="280">
        <v>801.8</v>
      </c>
      <c r="U77" s="90"/>
      <c r="V77" s="90"/>
      <c r="W77" s="90" t="s">
        <v>92</v>
      </c>
      <c r="X77" s="278">
        <v>25</v>
      </c>
      <c r="Y77" s="278">
        <v>25</v>
      </c>
      <c r="Z77" s="295" t="s">
        <v>31</v>
      </c>
      <c r="AA77" s="276"/>
      <c r="AB77" s="157">
        <f t="shared" si="2"/>
        <v>100</v>
      </c>
      <c r="AC77" s="150">
        <f t="shared" si="3"/>
        <v>100</v>
      </c>
      <c r="AD77" s="145">
        <v>0</v>
      </c>
      <c r="AE77" s="145"/>
      <c r="AF77" s="145"/>
    </row>
    <row r="78" spans="1:34" ht="401.25" customHeight="1" x14ac:dyDescent="0.25">
      <c r="A78" s="281" t="s">
        <v>93</v>
      </c>
      <c r="B78" s="276" t="s">
        <v>323</v>
      </c>
      <c r="C78" s="276" t="s">
        <v>27</v>
      </c>
      <c r="D78" s="280">
        <v>0</v>
      </c>
      <c r="E78" s="280">
        <v>700</v>
      </c>
      <c r="F78" s="93">
        <v>0</v>
      </c>
      <c r="G78" s="93">
        <v>0</v>
      </c>
      <c r="H78" s="93">
        <v>0</v>
      </c>
      <c r="I78" s="280">
        <v>0</v>
      </c>
      <c r="J78" s="93">
        <v>0</v>
      </c>
      <c r="K78" s="280">
        <v>700</v>
      </c>
      <c r="L78" s="93">
        <v>0</v>
      </c>
      <c r="M78" s="93">
        <v>0</v>
      </c>
      <c r="N78" s="93">
        <v>0</v>
      </c>
      <c r="O78" s="93">
        <v>0</v>
      </c>
      <c r="P78" s="280">
        <v>700</v>
      </c>
      <c r="Q78" s="93">
        <v>0</v>
      </c>
      <c r="R78" s="93">
        <v>0</v>
      </c>
      <c r="S78" s="93">
        <v>0</v>
      </c>
      <c r="T78" s="280">
        <v>420</v>
      </c>
      <c r="U78" s="96"/>
      <c r="V78" s="17"/>
      <c r="W78" s="90" t="s">
        <v>30</v>
      </c>
      <c r="X78" s="283">
        <v>1030</v>
      </c>
      <c r="Y78" s="278">
        <v>779</v>
      </c>
      <c r="Z78" s="275" t="s">
        <v>233</v>
      </c>
      <c r="AA78" s="276" t="s">
        <v>444</v>
      </c>
      <c r="AB78" s="157">
        <f t="shared" si="2"/>
        <v>100</v>
      </c>
      <c r="AC78" s="150">
        <f t="shared" si="3"/>
        <v>75.631067961165044</v>
      </c>
      <c r="AD78" s="145">
        <v>0</v>
      </c>
      <c r="AE78" s="145"/>
      <c r="AF78" s="145"/>
    </row>
    <row r="79" spans="1:34" ht="246.75" x14ac:dyDescent="0.25">
      <c r="A79" s="281" t="s">
        <v>94</v>
      </c>
      <c r="B79" s="276" t="s">
        <v>324</v>
      </c>
      <c r="C79" s="276" t="s">
        <v>27</v>
      </c>
      <c r="D79" s="280">
        <v>0</v>
      </c>
      <c r="E79" s="280">
        <v>16465.7</v>
      </c>
      <c r="F79" s="279">
        <v>0</v>
      </c>
      <c r="G79" s="279">
        <v>0</v>
      </c>
      <c r="H79" s="279">
        <v>0</v>
      </c>
      <c r="I79" s="280">
        <v>0</v>
      </c>
      <c r="J79" s="279">
        <v>0</v>
      </c>
      <c r="K79" s="280">
        <v>16465.7</v>
      </c>
      <c r="L79" s="279">
        <v>0</v>
      </c>
      <c r="M79" s="279">
        <v>0</v>
      </c>
      <c r="N79" s="279">
        <v>0</v>
      </c>
      <c r="O79" s="279">
        <v>0</v>
      </c>
      <c r="P79" s="280">
        <v>12158.5</v>
      </c>
      <c r="Q79" s="279">
        <v>0</v>
      </c>
      <c r="R79" s="279">
        <v>0</v>
      </c>
      <c r="S79" s="279">
        <v>0</v>
      </c>
      <c r="T79" s="280">
        <v>9748</v>
      </c>
      <c r="U79" s="276"/>
      <c r="V79" s="278"/>
      <c r="W79" s="275" t="s">
        <v>30</v>
      </c>
      <c r="X79" s="278">
        <v>290</v>
      </c>
      <c r="Y79" s="278">
        <v>288</v>
      </c>
      <c r="Z79" s="275" t="s">
        <v>233</v>
      </c>
      <c r="AA79" s="276" t="s">
        <v>276</v>
      </c>
      <c r="AB79" s="157">
        <f t="shared" si="2"/>
        <v>73.841379352229168</v>
      </c>
      <c r="AC79" s="150">
        <f t="shared" si="3"/>
        <v>99.310344827586206</v>
      </c>
      <c r="AD79" s="145">
        <v>4101.8</v>
      </c>
      <c r="AE79" s="145"/>
      <c r="AF79" s="145"/>
    </row>
    <row r="80" spans="1:34" ht="408.75" customHeight="1" x14ac:dyDescent="0.25">
      <c r="A80" s="310" t="s">
        <v>95</v>
      </c>
      <c r="B80" s="300" t="s">
        <v>325</v>
      </c>
      <c r="C80" s="300" t="s">
        <v>27</v>
      </c>
      <c r="D80" s="298">
        <v>0</v>
      </c>
      <c r="E80" s="298">
        <v>1000</v>
      </c>
      <c r="F80" s="298">
        <v>0</v>
      </c>
      <c r="G80" s="298">
        <v>0</v>
      </c>
      <c r="H80" s="298">
        <v>0</v>
      </c>
      <c r="I80" s="298">
        <v>0</v>
      </c>
      <c r="J80" s="298">
        <v>0</v>
      </c>
      <c r="K80" s="298">
        <v>1000</v>
      </c>
      <c r="L80" s="298">
        <v>0</v>
      </c>
      <c r="M80" s="298">
        <v>0</v>
      </c>
      <c r="N80" s="298">
        <v>0</v>
      </c>
      <c r="O80" s="298">
        <v>0</v>
      </c>
      <c r="P80" s="298">
        <v>1000</v>
      </c>
      <c r="Q80" s="312">
        <v>0</v>
      </c>
      <c r="R80" s="312">
        <v>0</v>
      </c>
      <c r="S80" s="312">
        <v>0</v>
      </c>
      <c r="T80" s="298">
        <v>1032.8</v>
      </c>
      <c r="U80" s="300"/>
      <c r="V80" s="306"/>
      <c r="W80" s="319" t="s">
        <v>96</v>
      </c>
      <c r="X80" s="306">
        <v>200</v>
      </c>
      <c r="Y80" s="306">
        <v>147</v>
      </c>
      <c r="Z80" s="319" t="s">
        <v>233</v>
      </c>
      <c r="AA80" s="300" t="s">
        <v>447</v>
      </c>
      <c r="AB80" s="157">
        <f t="shared" ref="AB80:AB125" si="5">P80/K80*100</f>
        <v>100</v>
      </c>
      <c r="AC80" s="150">
        <f t="shared" si="3"/>
        <v>73.5</v>
      </c>
      <c r="AD80" s="145">
        <v>0</v>
      </c>
      <c r="AE80" s="145"/>
      <c r="AF80" s="145"/>
    </row>
    <row r="81" spans="1:34" ht="108.75" customHeight="1" x14ac:dyDescent="0.25">
      <c r="A81" s="311"/>
      <c r="B81" s="301"/>
      <c r="C81" s="301"/>
      <c r="D81" s="299"/>
      <c r="E81" s="299"/>
      <c r="F81" s="299"/>
      <c r="G81" s="299"/>
      <c r="H81" s="299"/>
      <c r="I81" s="299"/>
      <c r="J81" s="299"/>
      <c r="K81" s="299"/>
      <c r="L81" s="299"/>
      <c r="M81" s="299"/>
      <c r="N81" s="299"/>
      <c r="O81" s="299"/>
      <c r="P81" s="299"/>
      <c r="Q81" s="313"/>
      <c r="R81" s="313"/>
      <c r="S81" s="313"/>
      <c r="T81" s="299"/>
      <c r="U81" s="301"/>
      <c r="V81" s="307"/>
      <c r="W81" s="320"/>
      <c r="X81" s="307"/>
      <c r="Y81" s="307"/>
      <c r="Z81" s="320"/>
      <c r="AA81" s="301"/>
      <c r="AB81" s="157" t="e">
        <f t="shared" si="5"/>
        <v>#DIV/0!</v>
      </c>
      <c r="AC81" s="150"/>
      <c r="AD81" s="145"/>
      <c r="AE81" s="145"/>
      <c r="AF81" s="145"/>
    </row>
    <row r="82" spans="1:34" ht="408.75" customHeight="1" x14ac:dyDescent="0.25">
      <c r="A82" s="275" t="s">
        <v>97</v>
      </c>
      <c r="B82" s="276" t="s">
        <v>281</v>
      </c>
      <c r="C82" s="276" t="s">
        <v>27</v>
      </c>
      <c r="D82" s="280">
        <v>0</v>
      </c>
      <c r="E82" s="280">
        <v>5960</v>
      </c>
      <c r="F82" s="93">
        <v>0</v>
      </c>
      <c r="G82" s="93">
        <v>0</v>
      </c>
      <c r="H82" s="93">
        <v>0</v>
      </c>
      <c r="I82" s="280">
        <v>0</v>
      </c>
      <c r="J82" s="93">
        <v>0</v>
      </c>
      <c r="K82" s="280">
        <v>5960</v>
      </c>
      <c r="L82" s="93">
        <v>0</v>
      </c>
      <c r="M82" s="93">
        <v>0</v>
      </c>
      <c r="N82" s="93">
        <v>0</v>
      </c>
      <c r="O82" s="93">
        <v>0</v>
      </c>
      <c r="P82" s="280">
        <v>0</v>
      </c>
      <c r="Q82" s="93">
        <v>0</v>
      </c>
      <c r="R82" s="93">
        <v>0</v>
      </c>
      <c r="S82" s="93">
        <v>0</v>
      </c>
      <c r="T82" s="280">
        <v>0</v>
      </c>
      <c r="U82" s="90"/>
      <c r="V82" s="17"/>
      <c r="W82" s="90" t="s">
        <v>98</v>
      </c>
      <c r="X82" s="275" t="s">
        <v>229</v>
      </c>
      <c r="Y82" s="286"/>
      <c r="Z82" s="275" t="s">
        <v>233</v>
      </c>
      <c r="AA82" s="276" t="s">
        <v>445</v>
      </c>
      <c r="AB82" s="157">
        <f t="shared" si="5"/>
        <v>0</v>
      </c>
      <c r="AC82" s="150"/>
      <c r="AD82" s="145">
        <v>0</v>
      </c>
      <c r="AE82" s="145"/>
      <c r="AF82" s="145"/>
    </row>
    <row r="83" spans="1:34" ht="408.75" customHeight="1" x14ac:dyDescent="0.25">
      <c r="A83" s="275" t="s">
        <v>211</v>
      </c>
      <c r="B83" s="276" t="s">
        <v>282</v>
      </c>
      <c r="C83" s="276" t="s">
        <v>275</v>
      </c>
      <c r="D83" s="280"/>
      <c r="E83" s="109">
        <v>7000</v>
      </c>
      <c r="F83" s="93"/>
      <c r="G83" s="93"/>
      <c r="H83" s="93"/>
      <c r="I83" s="280"/>
      <c r="J83" s="93"/>
      <c r="K83" s="280">
        <v>7000</v>
      </c>
      <c r="L83" s="93"/>
      <c r="M83" s="93"/>
      <c r="N83" s="93"/>
      <c r="O83" s="93"/>
      <c r="P83" s="280">
        <v>32.299999999999997</v>
      </c>
      <c r="Q83" s="93"/>
      <c r="R83" s="93"/>
      <c r="S83" s="93"/>
      <c r="T83" s="280">
        <v>0</v>
      </c>
      <c r="U83" s="96"/>
      <c r="V83" s="17"/>
      <c r="W83" s="90" t="s">
        <v>410</v>
      </c>
      <c r="X83" s="284" t="s">
        <v>411</v>
      </c>
      <c r="Y83" s="278">
        <v>0</v>
      </c>
      <c r="Z83" s="275" t="s">
        <v>233</v>
      </c>
      <c r="AA83" s="276" t="s">
        <v>412</v>
      </c>
      <c r="AB83" s="157">
        <f t="shared" si="5"/>
        <v>0.46142857142857141</v>
      </c>
      <c r="AC83" s="150"/>
      <c r="AD83" s="145">
        <v>0</v>
      </c>
      <c r="AE83" s="145"/>
      <c r="AF83" s="145"/>
    </row>
    <row r="84" spans="1:34" ht="408.75" customHeight="1" x14ac:dyDescent="0.25">
      <c r="A84" s="275" t="s">
        <v>45</v>
      </c>
      <c r="B84" s="276" t="s">
        <v>326</v>
      </c>
      <c r="C84" s="276" t="s">
        <v>27</v>
      </c>
      <c r="D84" s="280"/>
      <c r="E84" s="109">
        <v>26066.799999999999</v>
      </c>
      <c r="F84" s="93"/>
      <c r="G84" s="93"/>
      <c r="H84" s="93"/>
      <c r="I84" s="280"/>
      <c r="J84" s="93"/>
      <c r="K84" s="280">
        <v>26066.799999999999</v>
      </c>
      <c r="L84" s="93"/>
      <c r="M84" s="93"/>
      <c r="N84" s="93"/>
      <c r="O84" s="93"/>
      <c r="P84" s="280">
        <v>861.3</v>
      </c>
      <c r="Q84" s="93"/>
      <c r="R84" s="93"/>
      <c r="S84" s="93"/>
      <c r="T84" s="280">
        <v>0</v>
      </c>
      <c r="U84" s="96"/>
      <c r="V84" s="17"/>
      <c r="W84" s="90" t="s">
        <v>30</v>
      </c>
      <c r="X84" s="284">
        <v>1448</v>
      </c>
      <c r="Y84" s="278">
        <v>45</v>
      </c>
      <c r="Z84" s="275" t="s">
        <v>233</v>
      </c>
      <c r="AA84" s="276" t="s">
        <v>278</v>
      </c>
      <c r="AB84" s="157">
        <f t="shared" si="5"/>
        <v>3.3042030475547444</v>
      </c>
      <c r="AC84" s="150">
        <f t="shared" ref="AC84:AC125" si="6">Y84/X84*100</f>
        <v>3.1077348066298343</v>
      </c>
      <c r="AD84" s="145">
        <v>323.10000000000002</v>
      </c>
      <c r="AE84" s="145"/>
      <c r="AF84" s="145"/>
    </row>
    <row r="85" spans="1:34" ht="156" customHeight="1" x14ac:dyDescent="0.6">
      <c r="A85" s="281" t="s">
        <v>99</v>
      </c>
      <c r="B85" s="10" t="s">
        <v>100</v>
      </c>
      <c r="C85" s="10"/>
      <c r="D85" s="108">
        <f>D86+D90+D98+D99+D100+D105+D101+D103+D104+D107+D108+D110+D111+D114+D115+D116+D117+D118+D120+D122+D123+D125+D112+D106</f>
        <v>23431299.700000003</v>
      </c>
      <c r="E85" s="108">
        <f>E86+E90+E98+E99+E100+E104+E107+E108+E110+E112+E113+E114+E115+E116+E117+E118+E120+E122+E125+E106</f>
        <v>19548688.199999999</v>
      </c>
      <c r="F85" s="11">
        <f>F86+F90+F98+F99+F100+F105+F101+F103+F104+F107+F108+F110+F111+F114+F115+F116+F117+F118+F120+F122+F123+F125</f>
        <v>0</v>
      </c>
      <c r="G85" s="11">
        <f>G86+G90+G98+G99+G100+G105+G101+G103+G104+G107+G108+G110+G111+G114+G115+G116+G117+G118+G120+G122+G123+G125</f>
        <v>0</v>
      </c>
      <c r="H85" s="11">
        <f>H86+H90+H98+H99+H100+H105+H101+H103+H104+H107+H108+H110+H111+H114+H115+H116+H117+H118+H120+H122+H123+H125</f>
        <v>0</v>
      </c>
      <c r="I85" s="108">
        <f>I86+I90+I98+I99+I100+I105+I101+I103+I104+I107+I108+I110+I111+I114+I115+I116+I117+I118+I120+I122+I123+I125+I106</f>
        <v>24192864.899999999</v>
      </c>
      <c r="J85" s="11">
        <f>J86+J90+J98+J99+J100+J105+J101+J103+J104+J107+J108+J110+J111+J114+J115+J116+J117+J118+J120+J122+J123+J125</f>
        <v>0</v>
      </c>
      <c r="K85" s="108">
        <f>K86+K90+K98+K99+K100+K104+K107+K108+K110+K112+K113+K114+K115+K116+K117+K118+K120+K122+K125+K106</f>
        <v>19548688.100000001</v>
      </c>
      <c r="L85" s="11">
        <f>L86+L90+L98+L99+L100+L105+L101+L103+L104+L107+L108+L110+L111+L114+L115+L116+L117+L118+L120+L122+L123+L125+L112</f>
        <v>0</v>
      </c>
      <c r="M85" s="11">
        <f>M86+M90+M98+M99+M100+M105+M101+M103+M104+M107+M108+M110+M111+M114+M115+M116+M117+M118+M120+M122+M123+M125+M112</f>
        <v>0</v>
      </c>
      <c r="N85" s="11">
        <f>N101+N103+N105+N123+N111+N106</f>
        <v>17806221.199999999</v>
      </c>
      <c r="O85" s="11">
        <f>O86+O90+O98+O99+O100+O105+O101+O103+O104+O107+O108+O110+O111+O114+O115+O116+O117+O118+O120+O122+O123+O125+O112</f>
        <v>0</v>
      </c>
      <c r="P85" s="108">
        <f>P86+P90+P98+P99+P100+P105+P101+P103+P104+P107+P108+P110+P111+P114+P115+P116+P117+P118+P120+P122+P123+P125+P112+P113+P106</f>
        <v>13637778.5</v>
      </c>
      <c r="Q85" s="11">
        <f>Q86+Q90+Q98+Q99+Q100+Q105+Q101+Q103+Q104+Q107+Q108+Q110+Q111+Q114+Q115+Q116+Q117+Q118+Q120+Q122+Q123+Q125+Q112</f>
        <v>0</v>
      </c>
      <c r="R85" s="11">
        <f>R86+R90+R98+R99+R100+R105+R101+R103+R104+R107+R108+R110+R111+R114+R115+R116+R117+R118+R120+R122+R123+R125+R112</f>
        <v>0</v>
      </c>
      <c r="S85" s="11">
        <f>S86+S90+S98+S99+S100+S105+S101+S103+S104+S107+S108+S110+S111+S114+S115+S116+S117+S118+S120+S122+S123+S125+S112</f>
        <v>0</v>
      </c>
      <c r="T85" s="108">
        <f>T86+T90+T98+T99+T100+T105+T101+T103+T104+T107+T108+T110+T111+T114+T115+T116+T117+T118+T120+T122+T123+T125+T112</f>
        <v>595341.39999999991</v>
      </c>
      <c r="U85" s="9" t="s">
        <v>24</v>
      </c>
      <c r="V85" s="9" t="s">
        <v>24</v>
      </c>
      <c r="W85" s="278" t="s">
        <v>24</v>
      </c>
      <c r="X85" s="9" t="s">
        <v>24</v>
      </c>
      <c r="Y85" s="9"/>
      <c r="Z85" s="9" t="s">
        <v>24</v>
      </c>
      <c r="AA85" s="18"/>
      <c r="AB85" s="157">
        <f t="shared" si="5"/>
        <v>69.763139246157394</v>
      </c>
      <c r="AC85" s="150"/>
      <c r="AD85" s="145"/>
      <c r="AE85" s="145"/>
      <c r="AF85" s="145"/>
      <c r="AH85" s="13"/>
    </row>
    <row r="86" spans="1:34" ht="379.5" customHeight="1" x14ac:dyDescent="0.25">
      <c r="A86" s="281" t="s">
        <v>32</v>
      </c>
      <c r="B86" s="276" t="s">
        <v>327</v>
      </c>
      <c r="C86" s="276" t="s">
        <v>27</v>
      </c>
      <c r="D86" s="280">
        <v>0</v>
      </c>
      <c r="E86" s="280">
        <f>E87</f>
        <v>2541573.4</v>
      </c>
      <c r="F86" s="93">
        <v>0</v>
      </c>
      <c r="G86" s="93">
        <v>0</v>
      </c>
      <c r="H86" s="93">
        <v>0</v>
      </c>
      <c r="I86" s="280">
        <v>0</v>
      </c>
      <c r="J86" s="93">
        <v>0</v>
      </c>
      <c r="K86" s="280">
        <f>K87</f>
        <v>2541573.4</v>
      </c>
      <c r="L86" s="93">
        <v>0</v>
      </c>
      <c r="M86" s="93">
        <v>0</v>
      </c>
      <c r="N86" s="93">
        <v>0</v>
      </c>
      <c r="O86" s="93">
        <v>0</v>
      </c>
      <c r="P86" s="280">
        <f>P87</f>
        <v>1674115.4</v>
      </c>
      <c r="Q86" s="93">
        <v>0</v>
      </c>
      <c r="R86" s="93">
        <v>0</v>
      </c>
      <c r="S86" s="93">
        <v>0</v>
      </c>
      <c r="T86" s="280">
        <f>T87</f>
        <v>224398.9</v>
      </c>
      <c r="U86" s="278" t="s">
        <v>24</v>
      </c>
      <c r="V86" s="278" t="s">
        <v>24</v>
      </c>
      <c r="W86" s="278" t="s">
        <v>24</v>
      </c>
      <c r="X86" s="278" t="s">
        <v>24</v>
      </c>
      <c r="Y86" s="278"/>
      <c r="Z86" s="278" t="s">
        <v>24</v>
      </c>
      <c r="AA86" s="12"/>
      <c r="AB86" s="157">
        <f t="shared" si="5"/>
        <v>65.869252487455213</v>
      </c>
      <c r="AC86" s="150"/>
      <c r="AD86" s="145">
        <v>459637.7</v>
      </c>
      <c r="AE86" s="145"/>
      <c r="AF86" s="145"/>
    </row>
    <row r="87" spans="1:34" ht="409.5" customHeight="1" x14ac:dyDescent="0.25">
      <c r="A87" s="310" t="s">
        <v>76</v>
      </c>
      <c r="B87" s="300" t="s">
        <v>81</v>
      </c>
      <c r="C87" s="300" t="s">
        <v>27</v>
      </c>
      <c r="D87" s="298">
        <v>0</v>
      </c>
      <c r="E87" s="298">
        <v>2541573.4</v>
      </c>
      <c r="F87" s="312">
        <v>0</v>
      </c>
      <c r="G87" s="312">
        <v>0</v>
      </c>
      <c r="H87" s="312">
        <v>0</v>
      </c>
      <c r="I87" s="298">
        <v>0</v>
      </c>
      <c r="J87" s="312">
        <v>0</v>
      </c>
      <c r="K87" s="298">
        <v>2541573.4</v>
      </c>
      <c r="L87" s="312">
        <v>0</v>
      </c>
      <c r="M87" s="312">
        <v>0</v>
      </c>
      <c r="N87" s="312">
        <v>0</v>
      </c>
      <c r="O87" s="312">
        <v>0</v>
      </c>
      <c r="P87" s="298">
        <v>1674115.4</v>
      </c>
      <c r="Q87" s="312">
        <v>0</v>
      </c>
      <c r="R87" s="312">
        <v>0</v>
      </c>
      <c r="S87" s="312">
        <v>0</v>
      </c>
      <c r="T87" s="298">
        <v>224398.9</v>
      </c>
      <c r="U87" s="300"/>
      <c r="V87" s="306"/>
      <c r="W87" s="306" t="s">
        <v>30</v>
      </c>
      <c r="X87" s="333">
        <v>42651</v>
      </c>
      <c r="Y87" s="333">
        <f>1430+5574+541+603+237588</f>
        <v>245736</v>
      </c>
      <c r="Z87" s="319" t="s">
        <v>31</v>
      </c>
      <c r="AA87" s="300"/>
      <c r="AB87" s="157">
        <f t="shared" si="5"/>
        <v>65.869252487455213</v>
      </c>
      <c r="AC87" s="150">
        <f t="shared" si="6"/>
        <v>576.15530702679894</v>
      </c>
      <c r="AD87" s="145">
        <v>459637.7</v>
      </c>
      <c r="AE87" s="145"/>
      <c r="AF87" s="145"/>
      <c r="AG87" s="211"/>
    </row>
    <row r="88" spans="1:34" ht="79.5" customHeight="1" x14ac:dyDescent="0.25">
      <c r="A88" s="344"/>
      <c r="B88" s="345"/>
      <c r="C88" s="345"/>
      <c r="D88" s="346"/>
      <c r="E88" s="346"/>
      <c r="F88" s="348"/>
      <c r="G88" s="348"/>
      <c r="H88" s="348"/>
      <c r="I88" s="346"/>
      <c r="J88" s="348"/>
      <c r="K88" s="346"/>
      <c r="L88" s="348"/>
      <c r="M88" s="348"/>
      <c r="N88" s="348"/>
      <c r="O88" s="348"/>
      <c r="P88" s="346"/>
      <c r="Q88" s="348"/>
      <c r="R88" s="348"/>
      <c r="S88" s="348"/>
      <c r="T88" s="346"/>
      <c r="U88" s="345"/>
      <c r="V88" s="347"/>
      <c r="W88" s="347"/>
      <c r="X88" s="350"/>
      <c r="Y88" s="350"/>
      <c r="Z88" s="349"/>
      <c r="AA88" s="345"/>
      <c r="AB88" s="157" t="e">
        <f t="shared" si="5"/>
        <v>#DIV/0!</v>
      </c>
      <c r="AC88" s="150"/>
      <c r="AD88" s="145"/>
      <c r="AE88" s="145"/>
      <c r="AF88" s="145"/>
    </row>
    <row r="89" spans="1:34" ht="89.25" customHeight="1" x14ac:dyDescent="0.25">
      <c r="A89" s="311"/>
      <c r="B89" s="301"/>
      <c r="C89" s="301"/>
      <c r="D89" s="299"/>
      <c r="E89" s="299"/>
      <c r="F89" s="313"/>
      <c r="G89" s="313"/>
      <c r="H89" s="313"/>
      <c r="I89" s="299"/>
      <c r="J89" s="313"/>
      <c r="K89" s="299"/>
      <c r="L89" s="313"/>
      <c r="M89" s="313"/>
      <c r="N89" s="313"/>
      <c r="O89" s="313"/>
      <c r="P89" s="299"/>
      <c r="Q89" s="313"/>
      <c r="R89" s="313"/>
      <c r="S89" s="313"/>
      <c r="T89" s="299"/>
      <c r="U89" s="301"/>
      <c r="V89" s="307"/>
      <c r="W89" s="307"/>
      <c r="X89" s="334"/>
      <c r="Y89" s="334"/>
      <c r="Z89" s="320"/>
      <c r="AA89" s="301"/>
      <c r="AB89" s="157" t="e">
        <f t="shared" si="5"/>
        <v>#DIV/0!</v>
      </c>
      <c r="AC89" s="150"/>
      <c r="AD89" s="145"/>
      <c r="AE89" s="145"/>
      <c r="AF89" s="145"/>
    </row>
    <row r="90" spans="1:34" ht="409.5" x14ac:dyDescent="0.25">
      <c r="A90" s="281" t="s">
        <v>33</v>
      </c>
      <c r="B90" s="276" t="s">
        <v>328</v>
      </c>
      <c r="C90" s="276" t="s">
        <v>27</v>
      </c>
      <c r="D90" s="280">
        <v>0</v>
      </c>
      <c r="E90" s="109">
        <f>E91+E93</f>
        <v>324925.69999999995</v>
      </c>
      <c r="F90" s="94">
        <v>0</v>
      </c>
      <c r="G90" s="279">
        <v>0</v>
      </c>
      <c r="H90" s="279">
        <v>0</v>
      </c>
      <c r="I90" s="280">
        <v>0</v>
      </c>
      <c r="J90" s="279">
        <v>0</v>
      </c>
      <c r="K90" s="280">
        <f>K91+K93</f>
        <v>324925.69999999995</v>
      </c>
      <c r="L90" s="279">
        <v>0</v>
      </c>
      <c r="M90" s="279">
        <v>0</v>
      </c>
      <c r="N90" s="279">
        <v>0</v>
      </c>
      <c r="O90" s="279">
        <v>0</v>
      </c>
      <c r="P90" s="280">
        <f>P91+P93</f>
        <v>238329.60000000001</v>
      </c>
      <c r="Q90" s="279">
        <v>0</v>
      </c>
      <c r="R90" s="279">
        <v>0</v>
      </c>
      <c r="S90" s="279">
        <v>0</v>
      </c>
      <c r="T90" s="280">
        <f>T91</f>
        <v>10534</v>
      </c>
      <c r="U90" s="278"/>
      <c r="V90" s="278" t="s">
        <v>24</v>
      </c>
      <c r="W90" s="278" t="s">
        <v>24</v>
      </c>
      <c r="X90" s="278" t="s">
        <v>24</v>
      </c>
      <c r="Y90" s="278"/>
      <c r="Z90" s="278" t="s">
        <v>24</v>
      </c>
      <c r="AA90" s="12"/>
      <c r="AB90" s="157">
        <f t="shared" si="5"/>
        <v>73.348953314557775</v>
      </c>
      <c r="AC90" s="150"/>
      <c r="AD90" s="145">
        <v>52534.3</v>
      </c>
      <c r="AE90" s="145"/>
      <c r="AF90" s="145"/>
    </row>
    <row r="91" spans="1:34" ht="388.5" customHeight="1" x14ac:dyDescent="0.25">
      <c r="A91" s="310" t="s">
        <v>101</v>
      </c>
      <c r="B91" s="300" t="s">
        <v>81</v>
      </c>
      <c r="C91" s="300" t="s">
        <v>27</v>
      </c>
      <c r="D91" s="298">
        <v>0</v>
      </c>
      <c r="E91" s="317">
        <v>133709.6</v>
      </c>
      <c r="F91" s="314">
        <v>0</v>
      </c>
      <c r="G91" s="312">
        <v>0</v>
      </c>
      <c r="H91" s="312">
        <v>0</v>
      </c>
      <c r="I91" s="298">
        <v>0</v>
      </c>
      <c r="J91" s="312">
        <v>0</v>
      </c>
      <c r="K91" s="298">
        <v>133709.6</v>
      </c>
      <c r="L91" s="312">
        <v>0</v>
      </c>
      <c r="M91" s="312">
        <v>0</v>
      </c>
      <c r="N91" s="312">
        <v>0</v>
      </c>
      <c r="O91" s="312">
        <v>0</v>
      </c>
      <c r="P91" s="298">
        <v>85539.9</v>
      </c>
      <c r="Q91" s="312">
        <v>0</v>
      </c>
      <c r="R91" s="312">
        <v>0</v>
      </c>
      <c r="S91" s="312">
        <v>0</v>
      </c>
      <c r="T91" s="298">
        <v>10534</v>
      </c>
      <c r="U91" s="300"/>
      <c r="V91" s="306"/>
      <c r="W91" s="306" t="s">
        <v>30</v>
      </c>
      <c r="X91" s="306">
        <v>110</v>
      </c>
      <c r="Y91" s="306">
        <v>77</v>
      </c>
      <c r="Z91" s="319" t="s">
        <v>233</v>
      </c>
      <c r="AA91" s="300" t="s">
        <v>278</v>
      </c>
      <c r="AB91" s="157">
        <f t="shared" si="5"/>
        <v>63.974389273470258</v>
      </c>
      <c r="AC91" s="150">
        <f t="shared" si="6"/>
        <v>70</v>
      </c>
      <c r="AD91" s="145">
        <v>15405.9</v>
      </c>
      <c r="AE91" s="145"/>
      <c r="AF91" s="145"/>
    </row>
    <row r="92" spans="1:34" ht="99.75" hidden="1" customHeight="1" x14ac:dyDescent="0.25">
      <c r="A92" s="311"/>
      <c r="B92" s="301"/>
      <c r="C92" s="301"/>
      <c r="D92" s="299"/>
      <c r="E92" s="318"/>
      <c r="F92" s="315"/>
      <c r="G92" s="313"/>
      <c r="H92" s="313"/>
      <c r="I92" s="299"/>
      <c r="J92" s="313"/>
      <c r="K92" s="299"/>
      <c r="L92" s="313"/>
      <c r="M92" s="313"/>
      <c r="N92" s="313"/>
      <c r="O92" s="313"/>
      <c r="P92" s="299"/>
      <c r="Q92" s="313"/>
      <c r="R92" s="313"/>
      <c r="S92" s="313"/>
      <c r="T92" s="299"/>
      <c r="U92" s="301"/>
      <c r="V92" s="307"/>
      <c r="W92" s="307"/>
      <c r="X92" s="307"/>
      <c r="Y92" s="307"/>
      <c r="Z92" s="320"/>
      <c r="AA92" s="301"/>
      <c r="AB92" s="157" t="e">
        <f t="shared" si="5"/>
        <v>#DIV/0!</v>
      </c>
      <c r="AC92" s="150" t="e">
        <f t="shared" si="6"/>
        <v>#DIV/0!</v>
      </c>
      <c r="AD92" s="145"/>
      <c r="AE92" s="145"/>
      <c r="AF92" s="145"/>
    </row>
    <row r="93" spans="1:34" ht="211.5" x14ac:dyDescent="0.25">
      <c r="A93" s="281" t="s">
        <v>102</v>
      </c>
      <c r="B93" s="276" t="s">
        <v>103</v>
      </c>
      <c r="C93" s="276" t="s">
        <v>27</v>
      </c>
      <c r="D93" s="280">
        <v>0</v>
      </c>
      <c r="E93" s="109">
        <f>E94+E96+E97</f>
        <v>191216.09999999998</v>
      </c>
      <c r="F93" s="91">
        <v>0</v>
      </c>
      <c r="G93" s="279">
        <v>0</v>
      </c>
      <c r="H93" s="279">
        <v>0</v>
      </c>
      <c r="I93" s="280">
        <v>0</v>
      </c>
      <c r="J93" s="279">
        <v>0</v>
      </c>
      <c r="K93" s="280">
        <f>K94+K96+K97</f>
        <v>191216.09999999998</v>
      </c>
      <c r="L93" s="279">
        <v>0</v>
      </c>
      <c r="M93" s="279">
        <v>0</v>
      </c>
      <c r="N93" s="279">
        <v>0</v>
      </c>
      <c r="O93" s="279">
        <v>0</v>
      </c>
      <c r="P93" s="280">
        <f>P94+P96+P97</f>
        <v>152789.70000000001</v>
      </c>
      <c r="Q93" s="279">
        <v>0</v>
      </c>
      <c r="R93" s="279">
        <v>0</v>
      </c>
      <c r="S93" s="279">
        <v>0</v>
      </c>
      <c r="T93" s="280">
        <f>T94+T96+T97</f>
        <v>5866.9</v>
      </c>
      <c r="U93" s="278"/>
      <c r="V93" s="278" t="s">
        <v>24</v>
      </c>
      <c r="W93" s="278" t="s">
        <v>24</v>
      </c>
      <c r="X93" s="278" t="s">
        <v>24</v>
      </c>
      <c r="Y93" s="278"/>
      <c r="Z93" s="278" t="s">
        <v>24</v>
      </c>
      <c r="AA93" s="276"/>
      <c r="AB93" s="157">
        <f t="shared" si="5"/>
        <v>79.904202627289251</v>
      </c>
      <c r="AC93" s="150"/>
      <c r="AD93" s="145">
        <v>37128.400000000001</v>
      </c>
      <c r="AE93" s="145"/>
      <c r="AF93" s="145"/>
    </row>
    <row r="94" spans="1:34" ht="382.5" customHeight="1" x14ac:dyDescent="0.25">
      <c r="A94" s="310" t="s">
        <v>104</v>
      </c>
      <c r="B94" s="300" t="s">
        <v>86</v>
      </c>
      <c r="C94" s="300" t="s">
        <v>27</v>
      </c>
      <c r="D94" s="298">
        <v>0</v>
      </c>
      <c r="E94" s="317">
        <v>185065.8</v>
      </c>
      <c r="F94" s="314">
        <v>0</v>
      </c>
      <c r="G94" s="312">
        <v>0</v>
      </c>
      <c r="H94" s="312">
        <v>0</v>
      </c>
      <c r="I94" s="298">
        <v>0</v>
      </c>
      <c r="J94" s="312">
        <v>0</v>
      </c>
      <c r="K94" s="298">
        <v>185065.8</v>
      </c>
      <c r="L94" s="312">
        <v>0</v>
      </c>
      <c r="M94" s="312">
        <v>0</v>
      </c>
      <c r="N94" s="312">
        <v>0</v>
      </c>
      <c r="O94" s="312">
        <v>0</v>
      </c>
      <c r="P94" s="298">
        <v>147113.1</v>
      </c>
      <c r="Q94" s="312">
        <v>0</v>
      </c>
      <c r="R94" s="312">
        <v>0</v>
      </c>
      <c r="S94" s="312">
        <v>0</v>
      </c>
      <c r="T94" s="298">
        <v>1446.9</v>
      </c>
      <c r="U94" s="300"/>
      <c r="V94" s="306"/>
      <c r="W94" s="306" t="s">
        <v>30</v>
      </c>
      <c r="X94" s="333">
        <v>2417</v>
      </c>
      <c r="Y94" s="333">
        <f>330+424</f>
        <v>754</v>
      </c>
      <c r="Z94" s="319" t="s">
        <v>233</v>
      </c>
      <c r="AA94" s="300" t="s">
        <v>278</v>
      </c>
      <c r="AB94" s="157">
        <f t="shared" si="5"/>
        <v>79.492321109572927</v>
      </c>
      <c r="AC94" s="150">
        <f t="shared" si="6"/>
        <v>31.195697145221345</v>
      </c>
      <c r="AD94" s="145">
        <v>36466.699999999997</v>
      </c>
      <c r="AE94" s="145"/>
      <c r="AF94" s="145"/>
    </row>
    <row r="95" spans="1:34" ht="96.75" hidden="1" customHeight="1" x14ac:dyDescent="0.25">
      <c r="A95" s="311"/>
      <c r="B95" s="301"/>
      <c r="C95" s="301"/>
      <c r="D95" s="299"/>
      <c r="E95" s="318"/>
      <c r="F95" s="315"/>
      <c r="G95" s="313"/>
      <c r="H95" s="313"/>
      <c r="I95" s="299"/>
      <c r="J95" s="313"/>
      <c r="K95" s="299"/>
      <c r="L95" s="313"/>
      <c r="M95" s="313"/>
      <c r="N95" s="313"/>
      <c r="O95" s="313"/>
      <c r="P95" s="299"/>
      <c r="Q95" s="313"/>
      <c r="R95" s="313"/>
      <c r="S95" s="313"/>
      <c r="T95" s="299"/>
      <c r="U95" s="301"/>
      <c r="V95" s="307"/>
      <c r="W95" s="307"/>
      <c r="X95" s="334"/>
      <c r="Y95" s="334"/>
      <c r="Z95" s="320"/>
      <c r="AA95" s="301"/>
      <c r="AB95" s="157" t="e">
        <f t="shared" si="5"/>
        <v>#DIV/0!</v>
      </c>
      <c r="AC95" s="150" t="e">
        <f t="shared" si="6"/>
        <v>#DIV/0!</v>
      </c>
      <c r="AD95" s="145"/>
      <c r="AE95" s="145"/>
      <c r="AF95" s="145"/>
    </row>
    <row r="96" spans="1:34" ht="275.25" customHeight="1" x14ac:dyDescent="0.25">
      <c r="A96" s="281" t="s">
        <v>105</v>
      </c>
      <c r="B96" s="276" t="s">
        <v>88</v>
      </c>
      <c r="C96" s="276" t="s">
        <v>27</v>
      </c>
      <c r="D96" s="280">
        <v>0</v>
      </c>
      <c r="E96" s="109">
        <v>4800</v>
      </c>
      <c r="F96" s="91">
        <v>0</v>
      </c>
      <c r="G96" s="279">
        <v>0</v>
      </c>
      <c r="H96" s="279">
        <v>0</v>
      </c>
      <c r="I96" s="280">
        <v>0</v>
      </c>
      <c r="J96" s="279">
        <v>0</v>
      </c>
      <c r="K96" s="280">
        <v>4800</v>
      </c>
      <c r="L96" s="279">
        <v>0</v>
      </c>
      <c r="M96" s="279">
        <v>0</v>
      </c>
      <c r="N96" s="279">
        <v>0</v>
      </c>
      <c r="O96" s="279">
        <v>0</v>
      </c>
      <c r="P96" s="280">
        <v>4800</v>
      </c>
      <c r="Q96" s="279">
        <v>0</v>
      </c>
      <c r="R96" s="279">
        <v>0</v>
      </c>
      <c r="S96" s="279">
        <v>0</v>
      </c>
      <c r="T96" s="280">
        <v>4420</v>
      </c>
      <c r="U96" s="276"/>
      <c r="V96" s="278"/>
      <c r="W96" s="275" t="s">
        <v>82</v>
      </c>
      <c r="X96" s="9">
        <v>1</v>
      </c>
      <c r="Y96" s="9">
        <v>0</v>
      </c>
      <c r="Z96" s="275" t="s">
        <v>233</v>
      </c>
      <c r="AA96" s="276" t="s">
        <v>415</v>
      </c>
      <c r="AB96" s="157">
        <f t="shared" si="5"/>
        <v>100</v>
      </c>
      <c r="AC96" s="150">
        <f t="shared" si="6"/>
        <v>0</v>
      </c>
      <c r="AD96" s="145"/>
      <c r="AE96" s="145"/>
      <c r="AF96" s="145"/>
    </row>
    <row r="97" spans="1:32" ht="408.75" customHeight="1" x14ac:dyDescent="0.25">
      <c r="A97" s="281" t="s">
        <v>106</v>
      </c>
      <c r="B97" s="276" t="s">
        <v>329</v>
      </c>
      <c r="C97" s="276" t="s">
        <v>27</v>
      </c>
      <c r="D97" s="280">
        <v>0</v>
      </c>
      <c r="E97" s="109">
        <v>1350.3</v>
      </c>
      <c r="F97" s="94">
        <v>0</v>
      </c>
      <c r="G97" s="93">
        <v>0</v>
      </c>
      <c r="H97" s="93">
        <v>0</v>
      </c>
      <c r="I97" s="280">
        <v>0</v>
      </c>
      <c r="J97" s="93">
        <v>0</v>
      </c>
      <c r="K97" s="280">
        <v>1350.3</v>
      </c>
      <c r="L97" s="93">
        <v>0</v>
      </c>
      <c r="M97" s="93">
        <v>0</v>
      </c>
      <c r="N97" s="93">
        <v>0</v>
      </c>
      <c r="O97" s="93">
        <v>0</v>
      </c>
      <c r="P97" s="280">
        <v>876.6</v>
      </c>
      <c r="Q97" s="93">
        <v>0</v>
      </c>
      <c r="R97" s="93">
        <v>0</v>
      </c>
      <c r="S97" s="93">
        <v>0</v>
      </c>
      <c r="T97" s="280">
        <v>0</v>
      </c>
      <c r="U97" s="95"/>
      <c r="V97" s="17"/>
      <c r="W97" s="17" t="s">
        <v>30</v>
      </c>
      <c r="X97" s="278">
        <v>163</v>
      </c>
      <c r="Y97" s="278">
        <v>186</v>
      </c>
      <c r="Z97" s="275" t="s">
        <v>31</v>
      </c>
      <c r="AA97" s="208"/>
      <c r="AB97" s="157">
        <f t="shared" si="5"/>
        <v>64.918906909575654</v>
      </c>
      <c r="AC97" s="150">
        <f t="shared" si="6"/>
        <v>114.11042944785277</v>
      </c>
      <c r="AD97" s="145">
        <v>661.7</v>
      </c>
      <c r="AE97" s="145"/>
      <c r="AF97" s="145"/>
    </row>
    <row r="98" spans="1:32" ht="408.75" customHeight="1" x14ac:dyDescent="0.25">
      <c r="A98" s="281" t="s">
        <v>78</v>
      </c>
      <c r="B98" s="276" t="s">
        <v>107</v>
      </c>
      <c r="C98" s="276" t="s">
        <v>27</v>
      </c>
      <c r="D98" s="280">
        <v>0</v>
      </c>
      <c r="E98" s="280">
        <v>351853.2</v>
      </c>
      <c r="F98" s="93">
        <v>0</v>
      </c>
      <c r="G98" s="93">
        <v>0</v>
      </c>
      <c r="H98" s="93">
        <v>0</v>
      </c>
      <c r="I98" s="280">
        <v>0</v>
      </c>
      <c r="J98" s="93">
        <v>0</v>
      </c>
      <c r="K98" s="280">
        <v>351853.2</v>
      </c>
      <c r="L98" s="93">
        <v>0</v>
      </c>
      <c r="M98" s="93">
        <v>0</v>
      </c>
      <c r="N98" s="93">
        <v>0</v>
      </c>
      <c r="O98" s="93">
        <v>0</v>
      </c>
      <c r="P98" s="280">
        <v>265853.2</v>
      </c>
      <c r="Q98" s="93">
        <v>0</v>
      </c>
      <c r="R98" s="93">
        <v>0</v>
      </c>
      <c r="S98" s="93">
        <v>0</v>
      </c>
      <c r="T98" s="280">
        <v>310414.40000000002</v>
      </c>
      <c r="U98" s="90"/>
      <c r="V98" s="17"/>
      <c r="W98" s="17" t="s">
        <v>30</v>
      </c>
      <c r="X98" s="283">
        <v>6063</v>
      </c>
      <c r="Y98" s="283">
        <v>4220</v>
      </c>
      <c r="Z98" s="275" t="s">
        <v>233</v>
      </c>
      <c r="AA98" s="276" t="s">
        <v>278</v>
      </c>
      <c r="AB98" s="157">
        <f t="shared" si="5"/>
        <v>75.557988388339226</v>
      </c>
      <c r="AC98" s="150">
        <f t="shared" si="6"/>
        <v>69.602507009731156</v>
      </c>
      <c r="AD98" s="145">
        <v>97853.2</v>
      </c>
      <c r="AE98" s="145"/>
      <c r="AF98" s="145"/>
    </row>
    <row r="99" spans="1:32" ht="361.5" customHeight="1" x14ac:dyDescent="0.25">
      <c r="A99" s="281" t="s">
        <v>34</v>
      </c>
      <c r="B99" s="276" t="s">
        <v>330</v>
      </c>
      <c r="C99" s="276" t="s">
        <v>27</v>
      </c>
      <c r="D99" s="280">
        <v>0</v>
      </c>
      <c r="E99" s="109">
        <v>1051476</v>
      </c>
      <c r="F99" s="91">
        <v>0</v>
      </c>
      <c r="G99" s="279">
        <v>0</v>
      </c>
      <c r="H99" s="279">
        <v>0</v>
      </c>
      <c r="I99" s="280">
        <v>0</v>
      </c>
      <c r="J99" s="279">
        <v>0</v>
      </c>
      <c r="K99" s="280">
        <v>1051476</v>
      </c>
      <c r="L99" s="279">
        <v>0</v>
      </c>
      <c r="M99" s="279">
        <v>0</v>
      </c>
      <c r="N99" s="279">
        <v>0</v>
      </c>
      <c r="O99" s="279">
        <v>0</v>
      </c>
      <c r="P99" s="280">
        <v>734842.9</v>
      </c>
      <c r="Q99" s="279">
        <v>0</v>
      </c>
      <c r="R99" s="279">
        <v>0</v>
      </c>
      <c r="S99" s="279">
        <v>0</v>
      </c>
      <c r="T99" s="280">
        <v>105.7</v>
      </c>
      <c r="U99" s="276"/>
      <c r="V99" s="278"/>
      <c r="W99" s="278" t="s">
        <v>30</v>
      </c>
      <c r="X99" s="283">
        <v>345890</v>
      </c>
      <c r="Y99" s="284">
        <v>210438</v>
      </c>
      <c r="Z99" s="275" t="s">
        <v>233</v>
      </c>
      <c r="AA99" s="276" t="s">
        <v>278</v>
      </c>
      <c r="AB99" s="157">
        <f t="shared" si="5"/>
        <v>69.886797225994698</v>
      </c>
      <c r="AC99" s="150">
        <f t="shared" si="6"/>
        <v>60.839573274740523</v>
      </c>
      <c r="AD99" s="145">
        <v>244080.6</v>
      </c>
      <c r="AE99" s="145"/>
      <c r="AF99" s="145"/>
    </row>
    <row r="100" spans="1:32" ht="408.75" customHeight="1" x14ac:dyDescent="0.25">
      <c r="A100" s="281" t="s">
        <v>35</v>
      </c>
      <c r="B100" s="276" t="s">
        <v>331</v>
      </c>
      <c r="C100" s="276" t="s">
        <v>27</v>
      </c>
      <c r="D100" s="280">
        <v>0</v>
      </c>
      <c r="E100" s="280">
        <v>173893.1</v>
      </c>
      <c r="F100" s="93">
        <v>0</v>
      </c>
      <c r="G100" s="93">
        <v>0</v>
      </c>
      <c r="H100" s="93">
        <v>0</v>
      </c>
      <c r="I100" s="280">
        <v>0</v>
      </c>
      <c r="J100" s="93">
        <v>0</v>
      </c>
      <c r="K100" s="280">
        <v>173893.1</v>
      </c>
      <c r="L100" s="93">
        <v>0</v>
      </c>
      <c r="M100" s="93">
        <v>0</v>
      </c>
      <c r="N100" s="93">
        <v>0</v>
      </c>
      <c r="O100" s="93">
        <v>0</v>
      </c>
      <c r="P100" s="280">
        <v>76491.8</v>
      </c>
      <c r="Q100" s="93">
        <v>0</v>
      </c>
      <c r="R100" s="93">
        <v>0</v>
      </c>
      <c r="S100" s="93">
        <v>0</v>
      </c>
      <c r="T100" s="280">
        <v>1048.7</v>
      </c>
      <c r="U100" s="96"/>
      <c r="V100" s="17"/>
      <c r="W100" s="17" t="s">
        <v>30</v>
      </c>
      <c r="X100" s="283">
        <v>96607</v>
      </c>
      <c r="Y100" s="283">
        <v>69902</v>
      </c>
      <c r="Z100" s="275" t="s">
        <v>233</v>
      </c>
      <c r="AA100" s="276" t="s">
        <v>278</v>
      </c>
      <c r="AB100" s="157">
        <f t="shared" si="5"/>
        <v>43.987829304325473</v>
      </c>
      <c r="AC100" s="150">
        <f t="shared" si="6"/>
        <v>72.357075574233747</v>
      </c>
      <c r="AD100" s="145">
        <v>25723</v>
      </c>
      <c r="AE100" s="145"/>
      <c r="AF100" s="145"/>
    </row>
    <row r="101" spans="1:32" ht="408.75" customHeight="1" x14ac:dyDescent="0.25">
      <c r="A101" s="310" t="s">
        <v>37</v>
      </c>
      <c r="B101" s="300" t="s">
        <v>332</v>
      </c>
      <c r="C101" s="300" t="s">
        <v>27</v>
      </c>
      <c r="D101" s="298">
        <v>45354.3</v>
      </c>
      <c r="E101" s="298">
        <v>0</v>
      </c>
      <c r="F101" s="312">
        <v>0</v>
      </c>
      <c r="G101" s="312">
        <v>0</v>
      </c>
      <c r="H101" s="312">
        <v>0</v>
      </c>
      <c r="I101" s="298">
        <v>45354.3</v>
      </c>
      <c r="J101" s="312">
        <v>0</v>
      </c>
      <c r="K101" s="298">
        <v>0</v>
      </c>
      <c r="L101" s="312">
        <v>0</v>
      </c>
      <c r="M101" s="312">
        <v>0</v>
      </c>
      <c r="N101" s="312">
        <v>15178.3</v>
      </c>
      <c r="O101" s="312">
        <v>0</v>
      </c>
      <c r="P101" s="298">
        <v>0</v>
      </c>
      <c r="Q101" s="312">
        <v>0</v>
      </c>
      <c r="R101" s="312">
        <v>0</v>
      </c>
      <c r="S101" s="312">
        <v>0</v>
      </c>
      <c r="T101" s="298">
        <v>0</v>
      </c>
      <c r="U101" s="300"/>
      <c r="V101" s="306"/>
      <c r="W101" s="319" t="s">
        <v>30</v>
      </c>
      <c r="X101" s="306">
        <v>296</v>
      </c>
      <c r="Y101" s="306">
        <v>166</v>
      </c>
      <c r="Z101" s="319" t="s">
        <v>233</v>
      </c>
      <c r="AA101" s="300" t="s">
        <v>278</v>
      </c>
      <c r="AB101" s="157" t="e">
        <f t="shared" si="5"/>
        <v>#DIV/0!</v>
      </c>
      <c r="AC101" s="150">
        <f t="shared" si="6"/>
        <v>56.081081081081088</v>
      </c>
      <c r="AD101" s="145">
        <v>4193.1000000000004</v>
      </c>
      <c r="AE101" s="145"/>
      <c r="AF101" s="145"/>
    </row>
    <row r="102" spans="1:32" ht="7.5" customHeight="1" x14ac:dyDescent="0.25">
      <c r="A102" s="311"/>
      <c r="B102" s="301"/>
      <c r="C102" s="301"/>
      <c r="D102" s="299"/>
      <c r="E102" s="299"/>
      <c r="F102" s="313"/>
      <c r="G102" s="313"/>
      <c r="H102" s="313"/>
      <c r="I102" s="299"/>
      <c r="J102" s="313"/>
      <c r="K102" s="299"/>
      <c r="L102" s="313"/>
      <c r="M102" s="313"/>
      <c r="N102" s="313"/>
      <c r="O102" s="313"/>
      <c r="P102" s="299"/>
      <c r="Q102" s="313"/>
      <c r="R102" s="313"/>
      <c r="S102" s="313"/>
      <c r="T102" s="299"/>
      <c r="U102" s="301"/>
      <c r="V102" s="307"/>
      <c r="W102" s="320"/>
      <c r="X102" s="307"/>
      <c r="Y102" s="307"/>
      <c r="Z102" s="320"/>
      <c r="AA102" s="301"/>
      <c r="AB102" s="157" t="e">
        <f t="shared" si="5"/>
        <v>#DIV/0!</v>
      </c>
      <c r="AC102" s="150"/>
      <c r="AD102" s="145"/>
      <c r="AE102" s="145"/>
      <c r="AF102" s="145"/>
    </row>
    <row r="103" spans="1:32" ht="409.6" customHeight="1" x14ac:dyDescent="0.25">
      <c r="A103" s="275" t="s">
        <v>108</v>
      </c>
      <c r="B103" s="276" t="s">
        <v>333</v>
      </c>
      <c r="C103" s="277" t="s">
        <v>27</v>
      </c>
      <c r="D103" s="109">
        <v>4040154.5</v>
      </c>
      <c r="E103" s="280">
        <v>0</v>
      </c>
      <c r="F103" s="93">
        <v>0</v>
      </c>
      <c r="G103" s="93">
        <v>0</v>
      </c>
      <c r="H103" s="93">
        <v>0</v>
      </c>
      <c r="I103" s="109">
        <v>4040154.5</v>
      </c>
      <c r="J103" s="93">
        <v>0</v>
      </c>
      <c r="K103" s="280">
        <v>0</v>
      </c>
      <c r="L103" s="93">
        <v>0</v>
      </c>
      <c r="M103" s="93">
        <v>0</v>
      </c>
      <c r="N103" s="93">
        <v>2849130.7</v>
      </c>
      <c r="O103" s="93">
        <v>0</v>
      </c>
      <c r="P103" s="280">
        <v>0</v>
      </c>
      <c r="Q103" s="93">
        <v>0</v>
      </c>
      <c r="R103" s="93">
        <v>0</v>
      </c>
      <c r="S103" s="93">
        <v>0</v>
      </c>
      <c r="T103" s="280">
        <v>262.39999999999998</v>
      </c>
      <c r="U103" s="90"/>
      <c r="V103" s="17"/>
      <c r="W103" s="90" t="s">
        <v>30</v>
      </c>
      <c r="X103" s="283">
        <v>90000</v>
      </c>
      <c r="Y103" s="283">
        <v>65781</v>
      </c>
      <c r="Z103" s="275" t="s">
        <v>233</v>
      </c>
      <c r="AA103" s="276" t="s">
        <v>278</v>
      </c>
      <c r="AB103" s="157" t="e">
        <f t="shared" si="5"/>
        <v>#DIV/0!</v>
      </c>
      <c r="AC103" s="150">
        <f t="shared" si="6"/>
        <v>73.09</v>
      </c>
      <c r="AD103" s="145">
        <v>926954.6</v>
      </c>
      <c r="AE103" s="145"/>
      <c r="AF103" s="145"/>
    </row>
    <row r="104" spans="1:32" ht="409.6" customHeight="1" x14ac:dyDescent="0.25">
      <c r="A104" s="275" t="s">
        <v>109</v>
      </c>
      <c r="B104" s="276" t="s">
        <v>334</v>
      </c>
      <c r="C104" s="277" t="s">
        <v>27</v>
      </c>
      <c r="D104" s="109">
        <v>0</v>
      </c>
      <c r="E104" s="109">
        <v>3850242.4</v>
      </c>
      <c r="F104" s="94">
        <v>0</v>
      </c>
      <c r="G104" s="94">
        <v>0</v>
      </c>
      <c r="H104" s="94">
        <v>0</v>
      </c>
      <c r="I104" s="109">
        <v>0</v>
      </c>
      <c r="J104" s="94">
        <v>0</v>
      </c>
      <c r="K104" s="109">
        <v>3850242.4</v>
      </c>
      <c r="L104" s="94">
        <v>0</v>
      </c>
      <c r="M104" s="94">
        <v>0</v>
      </c>
      <c r="N104" s="94">
        <v>0</v>
      </c>
      <c r="O104" s="94">
        <v>0</v>
      </c>
      <c r="P104" s="109">
        <v>2704834</v>
      </c>
      <c r="Q104" s="94">
        <v>0</v>
      </c>
      <c r="R104" s="94">
        <v>0</v>
      </c>
      <c r="S104" s="94">
        <v>0</v>
      </c>
      <c r="T104" s="109">
        <v>31461.5</v>
      </c>
      <c r="U104" s="90"/>
      <c r="V104" s="90"/>
      <c r="W104" s="90" t="s">
        <v>30</v>
      </c>
      <c r="X104" s="284">
        <v>33300</v>
      </c>
      <c r="Y104" s="284">
        <v>31544</v>
      </c>
      <c r="Z104" s="275" t="s">
        <v>233</v>
      </c>
      <c r="AA104" s="276" t="s">
        <v>278</v>
      </c>
      <c r="AB104" s="157">
        <f t="shared" si="5"/>
        <v>70.25100549513455</v>
      </c>
      <c r="AC104" s="150">
        <f t="shared" si="6"/>
        <v>94.726726726726724</v>
      </c>
      <c r="AD104" s="145">
        <v>897172.4</v>
      </c>
      <c r="AE104" s="145"/>
      <c r="AF104" s="145"/>
    </row>
    <row r="105" spans="1:32" ht="409.6" customHeight="1" x14ac:dyDescent="0.25">
      <c r="A105" s="275" t="s">
        <v>110</v>
      </c>
      <c r="B105" s="276" t="s">
        <v>335</v>
      </c>
      <c r="C105" s="277" t="s">
        <v>27</v>
      </c>
      <c r="D105" s="109">
        <v>7761678.2000000002</v>
      </c>
      <c r="E105" s="109">
        <v>0</v>
      </c>
      <c r="F105" s="94">
        <v>0</v>
      </c>
      <c r="G105" s="93">
        <v>0</v>
      </c>
      <c r="H105" s="93">
        <v>0</v>
      </c>
      <c r="I105" s="280">
        <v>7761678.2000000002</v>
      </c>
      <c r="J105" s="93">
        <v>0</v>
      </c>
      <c r="K105" s="109">
        <v>0</v>
      </c>
      <c r="L105" s="93">
        <v>0</v>
      </c>
      <c r="M105" s="93">
        <v>0</v>
      </c>
      <c r="N105" s="93">
        <v>4785034.2</v>
      </c>
      <c r="O105" s="93">
        <v>0</v>
      </c>
      <c r="P105" s="280">
        <v>0</v>
      </c>
      <c r="Q105" s="93">
        <v>0</v>
      </c>
      <c r="R105" s="93">
        <v>0</v>
      </c>
      <c r="S105" s="93">
        <v>0</v>
      </c>
      <c r="T105" s="280">
        <v>0</v>
      </c>
      <c r="U105" s="90"/>
      <c r="V105" s="17"/>
      <c r="W105" s="90" t="s">
        <v>30</v>
      </c>
      <c r="X105" s="283">
        <v>61944</v>
      </c>
      <c r="Y105" s="283">
        <v>60668</v>
      </c>
      <c r="Z105" s="275" t="s">
        <v>233</v>
      </c>
      <c r="AA105" s="276" t="s">
        <v>278</v>
      </c>
      <c r="AB105" s="157" t="e">
        <f t="shared" si="5"/>
        <v>#DIV/0!</v>
      </c>
      <c r="AC105" s="150">
        <f t="shared" si="6"/>
        <v>97.94007490636703</v>
      </c>
      <c r="AD105" s="145">
        <v>1621311.2</v>
      </c>
      <c r="AE105" s="145"/>
      <c r="AF105" s="145"/>
    </row>
    <row r="106" spans="1:32" ht="408.75" customHeight="1" x14ac:dyDescent="0.25">
      <c r="A106" s="275" t="s">
        <v>245</v>
      </c>
      <c r="B106" s="276" t="s">
        <v>336</v>
      </c>
      <c r="C106" s="277" t="s">
        <v>27</v>
      </c>
      <c r="D106" s="109">
        <v>11547427.300000001</v>
      </c>
      <c r="E106" s="109">
        <v>4818557.5999999996</v>
      </c>
      <c r="F106" s="94">
        <v>0</v>
      </c>
      <c r="G106" s="93">
        <v>0</v>
      </c>
      <c r="H106" s="93">
        <v>0</v>
      </c>
      <c r="I106" s="280">
        <v>12308992.5</v>
      </c>
      <c r="J106" s="93">
        <v>0</v>
      </c>
      <c r="K106" s="453">
        <v>4538557.5</v>
      </c>
      <c r="L106" s="93">
        <v>0</v>
      </c>
      <c r="M106" s="93">
        <v>0</v>
      </c>
      <c r="N106" s="93">
        <v>10132079</v>
      </c>
      <c r="O106" s="93">
        <v>0</v>
      </c>
      <c r="P106" s="280">
        <v>3202996.9</v>
      </c>
      <c r="Q106" s="93"/>
      <c r="R106" s="93"/>
      <c r="S106" s="93"/>
      <c r="T106" s="280">
        <v>3393</v>
      </c>
      <c r="U106" s="90"/>
      <c r="V106" s="17"/>
      <c r="W106" s="90" t="s">
        <v>30</v>
      </c>
      <c r="X106" s="283">
        <v>224490</v>
      </c>
      <c r="Y106" s="283">
        <v>202782</v>
      </c>
      <c r="Z106" s="275" t="s">
        <v>31</v>
      </c>
      <c r="AA106" s="90" t="s">
        <v>278</v>
      </c>
      <c r="AB106" s="157">
        <f t="shared" si="5"/>
        <v>70.573015765471737</v>
      </c>
      <c r="AC106" s="150">
        <f t="shared" si="6"/>
        <v>90.330081518107704</v>
      </c>
      <c r="AD106" s="145">
        <v>3767155.1</v>
      </c>
      <c r="AE106" s="145"/>
      <c r="AF106" s="145"/>
    </row>
    <row r="107" spans="1:32" ht="393.75" customHeight="1" x14ac:dyDescent="0.25">
      <c r="A107" s="281" t="s">
        <v>39</v>
      </c>
      <c r="B107" s="276" t="s">
        <v>337</v>
      </c>
      <c r="C107" s="102" t="s">
        <v>27</v>
      </c>
      <c r="D107" s="109">
        <v>0</v>
      </c>
      <c r="E107" s="109">
        <v>17241.400000000001</v>
      </c>
      <c r="F107" s="93">
        <v>0</v>
      </c>
      <c r="G107" s="93">
        <v>0</v>
      </c>
      <c r="H107" s="93">
        <v>0</v>
      </c>
      <c r="I107" s="280">
        <v>0</v>
      </c>
      <c r="J107" s="93">
        <v>0</v>
      </c>
      <c r="K107" s="280">
        <v>17241.400000000001</v>
      </c>
      <c r="L107" s="93">
        <v>0</v>
      </c>
      <c r="M107" s="93">
        <v>0</v>
      </c>
      <c r="N107" s="93">
        <v>0</v>
      </c>
      <c r="O107" s="93">
        <v>0</v>
      </c>
      <c r="P107" s="280">
        <v>17241.400000000001</v>
      </c>
      <c r="Q107" s="93">
        <v>0</v>
      </c>
      <c r="R107" s="93">
        <v>0</v>
      </c>
      <c r="S107" s="93">
        <v>0</v>
      </c>
      <c r="T107" s="280">
        <v>0</v>
      </c>
      <c r="U107" s="90"/>
      <c r="V107" s="17"/>
      <c r="W107" s="17" t="s">
        <v>40</v>
      </c>
      <c r="X107" s="278">
        <v>15</v>
      </c>
      <c r="Y107" s="278">
        <v>15</v>
      </c>
      <c r="Z107" s="275" t="s">
        <v>31</v>
      </c>
      <c r="AA107" s="90"/>
      <c r="AB107" s="157">
        <f t="shared" si="5"/>
        <v>100</v>
      </c>
      <c r="AC107" s="150">
        <f t="shared" si="6"/>
        <v>100</v>
      </c>
      <c r="AD107" s="145">
        <v>17241.400000000001</v>
      </c>
      <c r="AE107" s="145"/>
      <c r="AF107" s="145"/>
    </row>
    <row r="108" spans="1:32" ht="385.5" customHeight="1" x14ac:dyDescent="0.25">
      <c r="A108" s="310" t="s">
        <v>41</v>
      </c>
      <c r="B108" s="300" t="s">
        <v>338</v>
      </c>
      <c r="C108" s="308" t="s">
        <v>27</v>
      </c>
      <c r="D108" s="298">
        <v>0</v>
      </c>
      <c r="E108" s="298">
        <v>79373</v>
      </c>
      <c r="F108" s="312">
        <v>0</v>
      </c>
      <c r="G108" s="312">
        <v>0</v>
      </c>
      <c r="H108" s="312">
        <v>0</v>
      </c>
      <c r="I108" s="298">
        <v>0</v>
      </c>
      <c r="J108" s="312">
        <v>0</v>
      </c>
      <c r="K108" s="298">
        <v>79373</v>
      </c>
      <c r="L108" s="312">
        <v>0</v>
      </c>
      <c r="M108" s="312">
        <v>0</v>
      </c>
      <c r="N108" s="312">
        <v>0</v>
      </c>
      <c r="O108" s="312">
        <v>0</v>
      </c>
      <c r="P108" s="298">
        <v>58400</v>
      </c>
      <c r="Q108" s="312">
        <v>0</v>
      </c>
      <c r="R108" s="312">
        <v>0</v>
      </c>
      <c r="S108" s="312">
        <v>0</v>
      </c>
      <c r="T108" s="298">
        <v>0</v>
      </c>
      <c r="U108" s="331"/>
      <c r="V108" s="306"/>
      <c r="W108" s="306" t="s">
        <v>30</v>
      </c>
      <c r="X108" s="333">
        <v>254</v>
      </c>
      <c r="Y108" s="333">
        <v>184</v>
      </c>
      <c r="Z108" s="319" t="s">
        <v>233</v>
      </c>
      <c r="AA108" s="300" t="s">
        <v>278</v>
      </c>
      <c r="AB108" s="157">
        <f t="shared" si="5"/>
        <v>73.576657049626448</v>
      </c>
      <c r="AC108" s="150">
        <f t="shared" si="6"/>
        <v>72.440944881889763</v>
      </c>
      <c r="AD108" s="145">
        <v>14500</v>
      </c>
      <c r="AE108" s="145"/>
      <c r="AF108" s="145"/>
    </row>
    <row r="109" spans="1:32" ht="148.5" hidden="1" customHeight="1" x14ac:dyDescent="0.25">
      <c r="A109" s="311"/>
      <c r="B109" s="301"/>
      <c r="C109" s="309"/>
      <c r="D109" s="299"/>
      <c r="E109" s="299"/>
      <c r="F109" s="313"/>
      <c r="G109" s="313"/>
      <c r="H109" s="313"/>
      <c r="I109" s="299"/>
      <c r="J109" s="313"/>
      <c r="K109" s="299"/>
      <c r="L109" s="313"/>
      <c r="M109" s="313"/>
      <c r="N109" s="313"/>
      <c r="O109" s="313"/>
      <c r="P109" s="299"/>
      <c r="Q109" s="313"/>
      <c r="R109" s="313"/>
      <c r="S109" s="313"/>
      <c r="T109" s="299"/>
      <c r="U109" s="332"/>
      <c r="V109" s="307"/>
      <c r="W109" s="307"/>
      <c r="X109" s="334"/>
      <c r="Y109" s="334"/>
      <c r="Z109" s="320"/>
      <c r="AA109" s="301"/>
      <c r="AB109" s="157" t="e">
        <f t="shared" si="5"/>
        <v>#DIV/0!</v>
      </c>
      <c r="AC109" s="150" t="e">
        <f t="shared" si="6"/>
        <v>#DIV/0!</v>
      </c>
      <c r="AD109" s="145"/>
      <c r="AE109" s="145"/>
      <c r="AF109" s="145"/>
    </row>
    <row r="110" spans="1:32" ht="211.5" x14ac:dyDescent="0.25">
      <c r="A110" s="281" t="s">
        <v>43</v>
      </c>
      <c r="B110" s="276" t="s">
        <v>339</v>
      </c>
      <c r="C110" s="102" t="s">
        <v>27</v>
      </c>
      <c r="D110" s="280">
        <v>0</v>
      </c>
      <c r="E110" s="109">
        <v>1447526.2</v>
      </c>
      <c r="F110" s="91">
        <v>0</v>
      </c>
      <c r="G110" s="279">
        <v>0</v>
      </c>
      <c r="H110" s="279">
        <v>0</v>
      </c>
      <c r="I110" s="280">
        <v>0</v>
      </c>
      <c r="J110" s="279">
        <v>0</v>
      </c>
      <c r="K110" s="453">
        <v>1539526.2</v>
      </c>
      <c r="L110" s="279">
        <v>0</v>
      </c>
      <c r="M110" s="279">
        <v>0</v>
      </c>
      <c r="N110" s="279">
        <v>0</v>
      </c>
      <c r="O110" s="279">
        <v>0</v>
      </c>
      <c r="P110" s="280">
        <v>1128289.8999999999</v>
      </c>
      <c r="Q110" s="279">
        <v>0</v>
      </c>
      <c r="R110" s="279">
        <v>0</v>
      </c>
      <c r="S110" s="279">
        <v>0</v>
      </c>
      <c r="T110" s="280">
        <v>15613.2</v>
      </c>
      <c r="U110" s="276"/>
      <c r="V110" s="278"/>
      <c r="W110" s="275" t="s">
        <v>30</v>
      </c>
      <c r="X110" s="283">
        <v>271428</v>
      </c>
      <c r="Y110" s="284">
        <v>306662</v>
      </c>
      <c r="Z110" s="275" t="s">
        <v>31</v>
      </c>
      <c r="AA110" s="276"/>
      <c r="AB110" s="157">
        <f t="shared" si="5"/>
        <v>73.288125918220814</v>
      </c>
      <c r="AC110" s="150">
        <f t="shared" si="6"/>
        <v>112.98097469678882</v>
      </c>
      <c r="AD110" s="145">
        <v>370070.9</v>
      </c>
      <c r="AE110" s="145"/>
      <c r="AF110" s="145"/>
    </row>
    <row r="111" spans="1:32" ht="211.5" x14ac:dyDescent="0.25">
      <c r="A111" s="275" t="s">
        <v>91</v>
      </c>
      <c r="B111" s="276" t="s">
        <v>111</v>
      </c>
      <c r="C111" s="102" t="s">
        <v>27</v>
      </c>
      <c r="D111" s="109">
        <v>36293.599999999999</v>
      </c>
      <c r="E111" s="280">
        <v>0</v>
      </c>
      <c r="F111" s="279">
        <v>0</v>
      </c>
      <c r="G111" s="279">
        <v>0</v>
      </c>
      <c r="H111" s="279">
        <v>0</v>
      </c>
      <c r="I111" s="109">
        <v>36293.599999999999</v>
      </c>
      <c r="J111" s="279">
        <v>0</v>
      </c>
      <c r="K111" s="280">
        <v>0</v>
      </c>
      <c r="L111" s="279">
        <v>0</v>
      </c>
      <c r="M111" s="279">
        <v>0</v>
      </c>
      <c r="N111" s="279">
        <v>24799</v>
      </c>
      <c r="O111" s="279">
        <v>0</v>
      </c>
      <c r="P111" s="280">
        <v>0</v>
      </c>
      <c r="Q111" s="279">
        <v>0</v>
      </c>
      <c r="R111" s="279">
        <v>0</v>
      </c>
      <c r="S111" s="279">
        <v>0</v>
      </c>
      <c r="T111" s="280">
        <v>0</v>
      </c>
      <c r="U111" s="276"/>
      <c r="V111" s="278"/>
      <c r="W111" s="278" t="s">
        <v>30</v>
      </c>
      <c r="X111" s="283">
        <v>1500</v>
      </c>
      <c r="Y111" s="278">
        <v>1075</v>
      </c>
      <c r="Z111" s="275" t="s">
        <v>233</v>
      </c>
      <c r="AA111" s="276" t="s">
        <v>278</v>
      </c>
      <c r="AB111" s="157" t="e">
        <f t="shared" si="5"/>
        <v>#DIV/0!</v>
      </c>
      <c r="AC111" s="150">
        <f t="shared" si="6"/>
        <v>71.666666666666671</v>
      </c>
      <c r="AD111" s="145">
        <v>4862.5</v>
      </c>
      <c r="AE111" s="145"/>
      <c r="AF111" s="145"/>
    </row>
    <row r="112" spans="1:32" ht="317.25" x14ac:dyDescent="0.25">
      <c r="A112" s="275" t="s">
        <v>94</v>
      </c>
      <c r="B112" s="276" t="s">
        <v>340</v>
      </c>
      <c r="C112" s="102" t="s">
        <v>27</v>
      </c>
      <c r="D112" s="109">
        <v>0</v>
      </c>
      <c r="E112" s="109">
        <v>549580.9</v>
      </c>
      <c r="F112" s="279">
        <v>0</v>
      </c>
      <c r="G112" s="279">
        <v>0</v>
      </c>
      <c r="H112" s="279">
        <v>0</v>
      </c>
      <c r="I112" s="109">
        <v>0</v>
      </c>
      <c r="J112" s="279">
        <v>0</v>
      </c>
      <c r="K112" s="453">
        <v>737580.9</v>
      </c>
      <c r="L112" s="279">
        <v>0</v>
      </c>
      <c r="M112" s="279">
        <v>0</v>
      </c>
      <c r="N112" s="279">
        <v>0</v>
      </c>
      <c r="O112" s="279">
        <v>0</v>
      </c>
      <c r="P112" s="280">
        <v>518618.6</v>
      </c>
      <c r="Q112" s="279">
        <v>0</v>
      </c>
      <c r="R112" s="279">
        <v>0</v>
      </c>
      <c r="S112" s="279">
        <v>0</v>
      </c>
      <c r="T112" s="280">
        <v>1502.6</v>
      </c>
      <c r="U112" s="276"/>
      <c r="V112" s="278"/>
      <c r="W112" s="278" t="s">
        <v>30</v>
      </c>
      <c r="X112" s="283">
        <v>6814</v>
      </c>
      <c r="Y112" s="283">
        <v>3895</v>
      </c>
      <c r="Z112" s="275" t="s">
        <v>233</v>
      </c>
      <c r="AA112" s="276" t="s">
        <v>278</v>
      </c>
      <c r="AB112" s="157">
        <f t="shared" si="5"/>
        <v>70.313453073418785</v>
      </c>
      <c r="AC112" s="150">
        <f t="shared" si="6"/>
        <v>57.161725858526559</v>
      </c>
      <c r="AD112" s="145">
        <v>133938.70000000001</v>
      </c>
      <c r="AE112" s="145"/>
      <c r="AF112" s="145"/>
    </row>
    <row r="113" spans="1:32" ht="211.5" x14ac:dyDescent="0.25">
      <c r="A113" s="275" t="s">
        <v>95</v>
      </c>
      <c r="B113" s="276" t="s">
        <v>341</v>
      </c>
      <c r="C113" s="102" t="s">
        <v>27</v>
      </c>
      <c r="D113" s="109">
        <v>0</v>
      </c>
      <c r="E113" s="109">
        <v>266.3</v>
      </c>
      <c r="F113" s="279">
        <v>0</v>
      </c>
      <c r="G113" s="279">
        <v>0</v>
      </c>
      <c r="H113" s="279">
        <v>0</v>
      </c>
      <c r="I113" s="109">
        <v>0</v>
      </c>
      <c r="J113" s="279">
        <v>0</v>
      </c>
      <c r="K113" s="109">
        <v>266.3</v>
      </c>
      <c r="L113" s="279">
        <v>0</v>
      </c>
      <c r="M113" s="279">
        <v>0</v>
      </c>
      <c r="N113" s="279">
        <v>0</v>
      </c>
      <c r="O113" s="279">
        <v>0</v>
      </c>
      <c r="P113" s="280">
        <v>0</v>
      </c>
      <c r="Q113" s="279">
        <v>0</v>
      </c>
      <c r="R113" s="279">
        <v>0</v>
      </c>
      <c r="S113" s="279">
        <v>0</v>
      </c>
      <c r="T113" s="280">
        <v>0</v>
      </c>
      <c r="U113" s="276"/>
      <c r="V113" s="278"/>
      <c r="W113" s="278" t="s">
        <v>112</v>
      </c>
      <c r="X113" s="283">
        <v>8803</v>
      </c>
      <c r="Y113" s="283">
        <v>8803</v>
      </c>
      <c r="Z113" s="275" t="s">
        <v>233</v>
      </c>
      <c r="AA113" s="276" t="s">
        <v>407</v>
      </c>
      <c r="AB113" s="157">
        <f t="shared" si="5"/>
        <v>0</v>
      </c>
      <c r="AC113" s="150">
        <f t="shared" si="6"/>
        <v>100</v>
      </c>
      <c r="AD113" s="145"/>
      <c r="AE113" s="145"/>
      <c r="AF113" s="145"/>
    </row>
    <row r="114" spans="1:32" ht="409.6" customHeight="1" x14ac:dyDescent="0.25">
      <c r="A114" s="281" t="s">
        <v>45</v>
      </c>
      <c r="B114" s="276" t="s">
        <v>342</v>
      </c>
      <c r="C114" s="102" t="s">
        <v>27</v>
      </c>
      <c r="D114" s="280">
        <v>0</v>
      </c>
      <c r="E114" s="109">
        <v>1974584.1</v>
      </c>
      <c r="F114" s="91">
        <v>0</v>
      </c>
      <c r="G114" s="93">
        <v>0</v>
      </c>
      <c r="H114" s="93">
        <v>0</v>
      </c>
      <c r="I114" s="280">
        <v>0</v>
      </c>
      <c r="J114" s="93">
        <v>0</v>
      </c>
      <c r="K114" s="280">
        <v>1974584.1</v>
      </c>
      <c r="L114" s="93">
        <v>0</v>
      </c>
      <c r="M114" s="93">
        <v>0</v>
      </c>
      <c r="N114" s="93">
        <v>0</v>
      </c>
      <c r="O114" s="93">
        <v>0</v>
      </c>
      <c r="P114" s="280">
        <v>1479592.7</v>
      </c>
      <c r="Q114" s="93">
        <v>0</v>
      </c>
      <c r="R114" s="93">
        <v>0</v>
      </c>
      <c r="S114" s="93">
        <v>0</v>
      </c>
      <c r="T114" s="280">
        <v>0</v>
      </c>
      <c r="U114" s="90"/>
      <c r="V114" s="17"/>
      <c r="W114" s="17" t="s">
        <v>30</v>
      </c>
      <c r="X114" s="284">
        <v>13332</v>
      </c>
      <c r="Y114" s="283">
        <v>13868</v>
      </c>
      <c r="Z114" s="275" t="s">
        <v>31</v>
      </c>
      <c r="AA114" s="276"/>
      <c r="AB114" s="157">
        <f t="shared" si="5"/>
        <v>74.931865398895894</v>
      </c>
      <c r="AC114" s="150">
        <f t="shared" si="6"/>
        <v>104.02040204020402</v>
      </c>
      <c r="AD114" s="145">
        <v>500092.8</v>
      </c>
      <c r="AE114" s="145"/>
      <c r="AF114" s="145"/>
    </row>
    <row r="115" spans="1:32" ht="409.5" x14ac:dyDescent="0.25">
      <c r="A115" s="281" t="s">
        <v>46</v>
      </c>
      <c r="B115" s="276" t="s">
        <v>343</v>
      </c>
      <c r="C115" s="102" t="s">
        <v>27</v>
      </c>
      <c r="D115" s="280">
        <v>0</v>
      </c>
      <c r="E115" s="109">
        <v>1705351</v>
      </c>
      <c r="F115" s="94">
        <v>0</v>
      </c>
      <c r="G115" s="93">
        <v>0</v>
      </c>
      <c r="H115" s="93">
        <v>0</v>
      </c>
      <c r="I115" s="280">
        <v>0</v>
      </c>
      <c r="J115" s="93">
        <v>0</v>
      </c>
      <c r="K115" s="280">
        <v>1705351</v>
      </c>
      <c r="L115" s="93">
        <v>0</v>
      </c>
      <c r="M115" s="279">
        <v>0</v>
      </c>
      <c r="N115" s="93">
        <v>0</v>
      </c>
      <c r="O115" s="93">
        <v>0</v>
      </c>
      <c r="P115" s="280">
        <v>1119397.8999999999</v>
      </c>
      <c r="Q115" s="93">
        <v>0</v>
      </c>
      <c r="R115" s="93">
        <v>0</v>
      </c>
      <c r="S115" s="93">
        <v>0</v>
      </c>
      <c r="T115" s="280">
        <v>0</v>
      </c>
      <c r="U115" s="90"/>
      <c r="V115" s="17"/>
      <c r="W115" s="278" t="s">
        <v>30</v>
      </c>
      <c r="X115" s="283">
        <v>8276</v>
      </c>
      <c r="Y115" s="283">
        <v>8259</v>
      </c>
      <c r="Z115" s="275" t="s">
        <v>233</v>
      </c>
      <c r="AA115" s="276" t="s">
        <v>278</v>
      </c>
      <c r="AB115" s="157">
        <f t="shared" si="5"/>
        <v>65.64032272535097</v>
      </c>
      <c r="AC115" s="150">
        <f t="shared" si="6"/>
        <v>99.794586756887384</v>
      </c>
      <c r="AD115" s="145">
        <v>326050.59999999998</v>
      </c>
      <c r="AE115" s="145"/>
      <c r="AF115" s="145"/>
    </row>
    <row r="116" spans="1:32" ht="409.6" customHeight="1" x14ac:dyDescent="0.25">
      <c r="A116" s="281" t="s">
        <v>113</v>
      </c>
      <c r="B116" s="276" t="s">
        <v>344</v>
      </c>
      <c r="C116" s="102" t="s">
        <v>27</v>
      </c>
      <c r="D116" s="280">
        <v>0</v>
      </c>
      <c r="E116" s="109">
        <v>16401.2</v>
      </c>
      <c r="F116" s="94">
        <v>0</v>
      </c>
      <c r="G116" s="93">
        <v>0</v>
      </c>
      <c r="H116" s="93">
        <v>0</v>
      </c>
      <c r="I116" s="280">
        <v>0</v>
      </c>
      <c r="J116" s="93">
        <v>0</v>
      </c>
      <c r="K116" s="280">
        <v>16401.2</v>
      </c>
      <c r="L116" s="93">
        <v>0</v>
      </c>
      <c r="M116" s="93">
        <v>0</v>
      </c>
      <c r="N116" s="93">
        <v>0</v>
      </c>
      <c r="O116" s="93">
        <v>0</v>
      </c>
      <c r="P116" s="280">
        <v>4853.7</v>
      </c>
      <c r="Q116" s="93">
        <v>0</v>
      </c>
      <c r="R116" s="93">
        <v>0</v>
      </c>
      <c r="S116" s="93">
        <v>0</v>
      </c>
      <c r="T116" s="280">
        <v>0</v>
      </c>
      <c r="U116" s="90"/>
      <c r="V116" s="17"/>
      <c r="W116" s="17" t="s">
        <v>30</v>
      </c>
      <c r="X116" s="278">
        <v>120</v>
      </c>
      <c r="Y116" s="278">
        <v>86</v>
      </c>
      <c r="Z116" s="275" t="s">
        <v>233</v>
      </c>
      <c r="AA116" s="276" t="s">
        <v>278</v>
      </c>
      <c r="AB116" s="157">
        <f t="shared" si="5"/>
        <v>29.593566324415281</v>
      </c>
      <c r="AC116" s="150">
        <f t="shared" si="6"/>
        <v>71.666666666666671</v>
      </c>
      <c r="AD116" s="145">
        <v>1721.3</v>
      </c>
      <c r="AE116" s="145"/>
      <c r="AF116" s="145"/>
    </row>
    <row r="117" spans="1:32" ht="408.75" customHeight="1" x14ac:dyDescent="0.25">
      <c r="A117" s="281" t="s">
        <v>114</v>
      </c>
      <c r="B117" s="276" t="s">
        <v>345</v>
      </c>
      <c r="C117" s="102" t="s">
        <v>27</v>
      </c>
      <c r="D117" s="280">
        <v>0</v>
      </c>
      <c r="E117" s="280">
        <v>20744.599999999999</v>
      </c>
      <c r="F117" s="93">
        <v>0</v>
      </c>
      <c r="G117" s="93">
        <v>0</v>
      </c>
      <c r="H117" s="93">
        <v>0</v>
      </c>
      <c r="I117" s="280">
        <v>0</v>
      </c>
      <c r="J117" s="93">
        <v>0</v>
      </c>
      <c r="K117" s="280">
        <v>20744.599999999999</v>
      </c>
      <c r="L117" s="93">
        <v>0</v>
      </c>
      <c r="M117" s="93">
        <v>0</v>
      </c>
      <c r="N117" s="93">
        <v>0</v>
      </c>
      <c r="O117" s="93">
        <v>0</v>
      </c>
      <c r="P117" s="280">
        <v>5340.1</v>
      </c>
      <c r="Q117" s="93">
        <v>0</v>
      </c>
      <c r="R117" s="93">
        <v>0</v>
      </c>
      <c r="S117" s="93">
        <v>0</v>
      </c>
      <c r="T117" s="280">
        <v>0</v>
      </c>
      <c r="U117" s="90"/>
      <c r="V117" s="17"/>
      <c r="W117" s="17" t="s">
        <v>30</v>
      </c>
      <c r="X117" s="278">
        <v>121</v>
      </c>
      <c r="Y117" s="278">
        <v>86</v>
      </c>
      <c r="Z117" s="275" t="s">
        <v>233</v>
      </c>
      <c r="AA117" s="276" t="s">
        <v>278</v>
      </c>
      <c r="AB117" s="157">
        <f t="shared" si="5"/>
        <v>25.742120841086358</v>
      </c>
      <c r="AC117" s="150">
        <f t="shared" si="6"/>
        <v>71.074380165289256</v>
      </c>
      <c r="AD117" s="145">
        <v>1822.4</v>
      </c>
      <c r="AE117" s="145"/>
      <c r="AF117" s="145"/>
    </row>
    <row r="118" spans="1:32" ht="409.5" customHeight="1" x14ac:dyDescent="0.25">
      <c r="A118" s="310" t="s">
        <v>115</v>
      </c>
      <c r="B118" s="300" t="s">
        <v>346</v>
      </c>
      <c r="C118" s="308" t="s">
        <v>27</v>
      </c>
      <c r="D118" s="298">
        <v>0</v>
      </c>
      <c r="E118" s="317">
        <v>388611.7</v>
      </c>
      <c r="F118" s="314">
        <v>0</v>
      </c>
      <c r="G118" s="312">
        <v>0</v>
      </c>
      <c r="H118" s="312">
        <v>0</v>
      </c>
      <c r="I118" s="298">
        <v>0</v>
      </c>
      <c r="J118" s="312">
        <v>0</v>
      </c>
      <c r="K118" s="298">
        <v>388611.7</v>
      </c>
      <c r="L118" s="312">
        <v>0</v>
      </c>
      <c r="M118" s="312">
        <v>0</v>
      </c>
      <c r="N118" s="312">
        <v>0</v>
      </c>
      <c r="O118" s="312">
        <v>0</v>
      </c>
      <c r="P118" s="298">
        <v>256797.4</v>
      </c>
      <c r="Q118" s="312">
        <v>0</v>
      </c>
      <c r="R118" s="312">
        <v>0</v>
      </c>
      <c r="S118" s="312">
        <v>0</v>
      </c>
      <c r="T118" s="298">
        <v>0</v>
      </c>
      <c r="U118" s="331"/>
      <c r="V118" s="306"/>
      <c r="W118" s="306" t="s">
        <v>30</v>
      </c>
      <c r="X118" s="306">
        <v>526</v>
      </c>
      <c r="Y118" s="306">
        <v>484</v>
      </c>
      <c r="Z118" s="319" t="s">
        <v>233</v>
      </c>
      <c r="AA118" s="300" t="s">
        <v>278</v>
      </c>
      <c r="AB118" s="157">
        <f t="shared" si="5"/>
        <v>66.080717590335027</v>
      </c>
      <c r="AC118" s="150">
        <f t="shared" si="6"/>
        <v>92.01520912547528</v>
      </c>
      <c r="AD118" s="145">
        <v>71871.5</v>
      </c>
      <c r="AE118" s="145"/>
      <c r="AF118" s="145"/>
    </row>
    <row r="119" spans="1:32" ht="409.6" customHeight="1" x14ac:dyDescent="0.25">
      <c r="A119" s="311"/>
      <c r="B119" s="301"/>
      <c r="C119" s="309"/>
      <c r="D119" s="299"/>
      <c r="E119" s="318"/>
      <c r="F119" s="315"/>
      <c r="G119" s="313"/>
      <c r="H119" s="313"/>
      <c r="I119" s="299"/>
      <c r="J119" s="313"/>
      <c r="K119" s="299"/>
      <c r="L119" s="313"/>
      <c r="M119" s="313"/>
      <c r="N119" s="313"/>
      <c r="O119" s="313"/>
      <c r="P119" s="299"/>
      <c r="Q119" s="313"/>
      <c r="R119" s="313"/>
      <c r="S119" s="313"/>
      <c r="T119" s="299"/>
      <c r="U119" s="332"/>
      <c r="V119" s="307"/>
      <c r="W119" s="307"/>
      <c r="X119" s="307"/>
      <c r="Y119" s="307"/>
      <c r="Z119" s="320"/>
      <c r="AA119" s="301"/>
      <c r="AB119" s="157" t="e">
        <f t="shared" si="5"/>
        <v>#DIV/0!</v>
      </c>
      <c r="AC119" s="150"/>
      <c r="AD119" s="145"/>
      <c r="AE119" s="145"/>
      <c r="AF119" s="145"/>
    </row>
    <row r="120" spans="1:32" ht="408.75" customHeight="1" x14ac:dyDescent="0.25">
      <c r="A120" s="310" t="s">
        <v>116</v>
      </c>
      <c r="B120" s="300" t="s">
        <v>347</v>
      </c>
      <c r="C120" s="308" t="s">
        <v>27</v>
      </c>
      <c r="D120" s="298">
        <v>0</v>
      </c>
      <c r="E120" s="317">
        <v>28014.799999999999</v>
      </c>
      <c r="F120" s="314">
        <v>0</v>
      </c>
      <c r="G120" s="312">
        <v>0</v>
      </c>
      <c r="H120" s="312">
        <v>0</v>
      </c>
      <c r="I120" s="298">
        <v>0</v>
      </c>
      <c r="J120" s="312">
        <v>0</v>
      </c>
      <c r="K120" s="298">
        <v>28014.799999999999</v>
      </c>
      <c r="L120" s="312">
        <v>0</v>
      </c>
      <c r="M120" s="312">
        <v>0</v>
      </c>
      <c r="N120" s="312">
        <v>0</v>
      </c>
      <c r="O120" s="312">
        <v>0</v>
      </c>
      <c r="P120" s="298">
        <v>17840.5</v>
      </c>
      <c r="Q120" s="312">
        <v>0</v>
      </c>
      <c r="R120" s="312">
        <v>0</v>
      </c>
      <c r="S120" s="312">
        <v>0</v>
      </c>
      <c r="T120" s="298">
        <v>0</v>
      </c>
      <c r="U120" s="342"/>
      <c r="V120" s="306"/>
      <c r="W120" s="306" t="s">
        <v>30</v>
      </c>
      <c r="X120" s="306">
        <v>44</v>
      </c>
      <c r="Y120" s="306">
        <v>44</v>
      </c>
      <c r="Z120" s="319" t="s">
        <v>233</v>
      </c>
      <c r="AA120" s="300" t="s">
        <v>278</v>
      </c>
      <c r="AB120" s="157">
        <f t="shared" si="5"/>
        <v>63.68241072575924</v>
      </c>
      <c r="AC120" s="150">
        <f t="shared" si="6"/>
        <v>100</v>
      </c>
      <c r="AD120" s="145">
        <v>5028.6000000000004</v>
      </c>
      <c r="AE120" s="145"/>
      <c r="AF120" s="145"/>
    </row>
    <row r="121" spans="1:32" ht="339.75" customHeight="1" x14ac:dyDescent="0.25">
      <c r="A121" s="311"/>
      <c r="B121" s="301"/>
      <c r="C121" s="309"/>
      <c r="D121" s="299"/>
      <c r="E121" s="318"/>
      <c r="F121" s="315"/>
      <c r="G121" s="313"/>
      <c r="H121" s="313"/>
      <c r="I121" s="299"/>
      <c r="J121" s="313"/>
      <c r="K121" s="299"/>
      <c r="L121" s="313"/>
      <c r="M121" s="313"/>
      <c r="N121" s="313"/>
      <c r="O121" s="313"/>
      <c r="P121" s="299"/>
      <c r="Q121" s="313"/>
      <c r="R121" s="313"/>
      <c r="S121" s="313"/>
      <c r="T121" s="299"/>
      <c r="U121" s="343"/>
      <c r="V121" s="307"/>
      <c r="W121" s="307"/>
      <c r="X121" s="307"/>
      <c r="Y121" s="307"/>
      <c r="Z121" s="320"/>
      <c r="AA121" s="301"/>
      <c r="AB121" s="157" t="e">
        <f t="shared" si="5"/>
        <v>#DIV/0!</v>
      </c>
      <c r="AC121" s="150"/>
      <c r="AD121" s="145"/>
      <c r="AE121" s="145"/>
      <c r="AF121" s="145"/>
    </row>
    <row r="122" spans="1:32" ht="409.6" customHeight="1" x14ac:dyDescent="0.25">
      <c r="A122" s="281" t="s">
        <v>117</v>
      </c>
      <c r="B122" s="276" t="s">
        <v>348</v>
      </c>
      <c r="C122" s="102" t="s">
        <v>27</v>
      </c>
      <c r="D122" s="280">
        <v>0</v>
      </c>
      <c r="E122" s="280">
        <v>182404.8</v>
      </c>
      <c r="F122" s="93">
        <v>0</v>
      </c>
      <c r="G122" s="93">
        <v>0</v>
      </c>
      <c r="H122" s="93">
        <v>0</v>
      </c>
      <c r="I122" s="280">
        <v>0</v>
      </c>
      <c r="J122" s="93">
        <v>0</v>
      </c>
      <c r="K122" s="280">
        <v>182404.8</v>
      </c>
      <c r="L122" s="93">
        <v>0</v>
      </c>
      <c r="M122" s="93">
        <v>0</v>
      </c>
      <c r="N122" s="93">
        <v>0</v>
      </c>
      <c r="O122" s="93">
        <v>0</v>
      </c>
      <c r="P122" s="280">
        <v>120357.2</v>
      </c>
      <c r="Q122" s="93">
        <v>0</v>
      </c>
      <c r="R122" s="93">
        <v>0</v>
      </c>
      <c r="S122" s="93">
        <v>0</v>
      </c>
      <c r="T122" s="280">
        <v>0</v>
      </c>
      <c r="U122" s="90"/>
      <c r="V122" s="17"/>
      <c r="W122" s="17" t="s">
        <v>30</v>
      </c>
      <c r="X122" s="278">
        <v>212</v>
      </c>
      <c r="Y122" s="278">
        <v>212</v>
      </c>
      <c r="Z122" s="275" t="s">
        <v>233</v>
      </c>
      <c r="AA122" s="276" t="s">
        <v>278</v>
      </c>
      <c r="AB122" s="157">
        <f t="shared" si="5"/>
        <v>65.983570607791037</v>
      </c>
      <c r="AC122" s="150">
        <f t="shared" si="6"/>
        <v>100</v>
      </c>
      <c r="AD122" s="145">
        <v>35110.5</v>
      </c>
      <c r="AE122" s="145"/>
      <c r="AF122" s="145"/>
    </row>
    <row r="123" spans="1:32" ht="408.75" customHeight="1" x14ac:dyDescent="0.25">
      <c r="A123" s="310" t="s">
        <v>118</v>
      </c>
      <c r="B123" s="300" t="s">
        <v>349</v>
      </c>
      <c r="C123" s="308" t="s">
        <v>27</v>
      </c>
      <c r="D123" s="298">
        <v>391.8</v>
      </c>
      <c r="E123" s="298">
        <v>0</v>
      </c>
      <c r="F123" s="312">
        <v>0</v>
      </c>
      <c r="G123" s="312">
        <v>0</v>
      </c>
      <c r="H123" s="312">
        <v>0</v>
      </c>
      <c r="I123" s="298">
        <v>391.8</v>
      </c>
      <c r="J123" s="312">
        <v>0</v>
      </c>
      <c r="K123" s="298">
        <v>0</v>
      </c>
      <c r="L123" s="312">
        <v>0</v>
      </c>
      <c r="M123" s="312">
        <v>0</v>
      </c>
      <c r="N123" s="312">
        <v>0</v>
      </c>
      <c r="O123" s="312">
        <v>0</v>
      </c>
      <c r="P123" s="298">
        <v>0</v>
      </c>
      <c r="Q123" s="312">
        <v>0</v>
      </c>
      <c r="R123" s="312">
        <v>0</v>
      </c>
      <c r="S123" s="312">
        <v>0</v>
      </c>
      <c r="T123" s="298">
        <v>0</v>
      </c>
      <c r="U123" s="300"/>
      <c r="V123" s="306"/>
      <c r="W123" s="306" t="s">
        <v>30</v>
      </c>
      <c r="X123" s="306">
        <v>8</v>
      </c>
      <c r="Y123" s="306">
        <v>0</v>
      </c>
      <c r="Z123" s="319" t="s">
        <v>233</v>
      </c>
      <c r="AA123" s="300" t="s">
        <v>247</v>
      </c>
      <c r="AB123" s="157" t="e">
        <f t="shared" si="5"/>
        <v>#DIV/0!</v>
      </c>
      <c r="AC123" s="150">
        <f t="shared" si="6"/>
        <v>0</v>
      </c>
      <c r="AD123" s="145"/>
      <c r="AE123" s="145"/>
      <c r="AF123" s="145"/>
    </row>
    <row r="124" spans="1:32" ht="409.6" customHeight="1" x14ac:dyDescent="0.25">
      <c r="A124" s="311"/>
      <c r="B124" s="301"/>
      <c r="C124" s="309"/>
      <c r="D124" s="299"/>
      <c r="E124" s="299"/>
      <c r="F124" s="313"/>
      <c r="G124" s="313"/>
      <c r="H124" s="313"/>
      <c r="I124" s="299"/>
      <c r="J124" s="313"/>
      <c r="K124" s="299"/>
      <c r="L124" s="313"/>
      <c r="M124" s="313"/>
      <c r="N124" s="313"/>
      <c r="O124" s="313"/>
      <c r="P124" s="299"/>
      <c r="Q124" s="313"/>
      <c r="R124" s="313"/>
      <c r="S124" s="313"/>
      <c r="T124" s="299"/>
      <c r="U124" s="301"/>
      <c r="V124" s="307"/>
      <c r="W124" s="307"/>
      <c r="X124" s="307"/>
      <c r="Y124" s="307"/>
      <c r="Z124" s="320"/>
      <c r="AA124" s="301"/>
      <c r="AB124" s="157" t="e">
        <f t="shared" si="5"/>
        <v>#DIV/0!</v>
      </c>
      <c r="AC124" s="150"/>
      <c r="AD124" s="145"/>
      <c r="AE124" s="145"/>
      <c r="AF124" s="145"/>
    </row>
    <row r="125" spans="1:32" ht="409.6" customHeight="1" x14ac:dyDescent="0.25">
      <c r="A125" s="281" t="s">
        <v>53</v>
      </c>
      <c r="B125" s="276" t="s">
        <v>350</v>
      </c>
      <c r="C125" s="102" t="s">
        <v>27</v>
      </c>
      <c r="D125" s="280">
        <v>0</v>
      </c>
      <c r="E125" s="280">
        <v>26066.799999999999</v>
      </c>
      <c r="F125" s="93">
        <v>0</v>
      </c>
      <c r="G125" s="93">
        <v>0</v>
      </c>
      <c r="H125" s="93">
        <v>0</v>
      </c>
      <c r="I125" s="280">
        <v>0</v>
      </c>
      <c r="J125" s="93">
        <v>0</v>
      </c>
      <c r="K125" s="280">
        <v>26066.799999999999</v>
      </c>
      <c r="L125" s="93">
        <v>0</v>
      </c>
      <c r="M125" s="93">
        <v>0</v>
      </c>
      <c r="N125" s="93">
        <v>0</v>
      </c>
      <c r="O125" s="93">
        <v>0</v>
      </c>
      <c r="P125" s="280">
        <v>13585.3</v>
      </c>
      <c r="Q125" s="93">
        <v>0</v>
      </c>
      <c r="R125" s="93">
        <v>0</v>
      </c>
      <c r="S125" s="93">
        <v>0</v>
      </c>
      <c r="T125" s="280">
        <v>0</v>
      </c>
      <c r="U125" s="90"/>
      <c r="V125" s="90"/>
      <c r="W125" s="17" t="s">
        <v>30</v>
      </c>
      <c r="X125" s="278">
        <v>1600</v>
      </c>
      <c r="Y125" s="278">
        <v>453</v>
      </c>
      <c r="Z125" s="275" t="s">
        <v>233</v>
      </c>
      <c r="AA125" s="276" t="s">
        <v>278</v>
      </c>
      <c r="AB125" s="157">
        <f t="shared" si="5"/>
        <v>52.117252597173412</v>
      </c>
      <c r="AC125" s="150">
        <f t="shared" si="6"/>
        <v>28.3125</v>
      </c>
      <c r="AD125" s="145">
        <v>3643.4</v>
      </c>
      <c r="AE125" s="145"/>
      <c r="AF125" s="145"/>
    </row>
    <row r="126" spans="1:32" ht="45.75" customHeight="1" x14ac:dyDescent="0.25">
      <c r="A126" s="296" t="s">
        <v>454</v>
      </c>
      <c r="B126" s="296"/>
      <c r="C126" s="296"/>
      <c r="D126" s="296"/>
      <c r="E126" s="296"/>
      <c r="F126" s="296"/>
      <c r="G126" s="296"/>
      <c r="H126" s="296"/>
      <c r="I126" s="296"/>
      <c r="J126" s="296"/>
      <c r="K126" s="296"/>
      <c r="L126" s="296"/>
      <c r="M126" s="296"/>
      <c r="N126" s="296"/>
      <c r="O126" s="296"/>
      <c r="P126" s="296"/>
      <c r="Q126" s="296"/>
      <c r="R126" s="296"/>
      <c r="S126" s="296"/>
      <c r="T126" s="296"/>
      <c r="U126" s="296"/>
      <c r="V126" s="296"/>
      <c r="W126" s="296"/>
      <c r="X126" s="296"/>
      <c r="Y126" s="296"/>
      <c r="Z126" s="296"/>
      <c r="AA126" s="296"/>
      <c r="AB126" s="147"/>
      <c r="AC126" s="147"/>
    </row>
    <row r="127" spans="1:32" ht="45.75" x14ac:dyDescent="0.25">
      <c r="A127" s="21"/>
      <c r="B127" s="22"/>
      <c r="C127" s="22"/>
      <c r="D127" s="110"/>
      <c r="E127" s="110"/>
      <c r="F127" s="21"/>
      <c r="G127" s="21"/>
      <c r="H127" s="21"/>
      <c r="I127" s="110"/>
      <c r="J127" s="21"/>
      <c r="K127" s="110"/>
      <c r="L127" s="21"/>
      <c r="M127" s="21"/>
      <c r="N127" s="289"/>
      <c r="O127" s="289"/>
      <c r="P127" s="290"/>
      <c r="Q127" s="21"/>
      <c r="R127" s="21"/>
      <c r="S127" s="21"/>
      <c r="T127" s="110"/>
      <c r="U127" s="22"/>
      <c r="V127" s="21"/>
      <c r="W127" s="21"/>
      <c r="X127" s="21"/>
      <c r="Y127" s="19"/>
      <c r="Z127" s="19"/>
      <c r="AA127" s="20"/>
      <c r="AB127" s="147"/>
      <c r="AC127" s="147"/>
    </row>
    <row r="128" spans="1:32" ht="45.75" x14ac:dyDescent="0.25">
      <c r="A128" s="21"/>
      <c r="B128" s="22"/>
      <c r="C128" s="22"/>
      <c r="D128" s="110"/>
      <c r="E128" s="110"/>
      <c r="F128" s="21"/>
      <c r="G128" s="21"/>
      <c r="H128" s="21"/>
      <c r="I128" s="110"/>
      <c r="J128" s="21"/>
      <c r="K128" s="110"/>
      <c r="L128" s="21"/>
      <c r="M128" s="21"/>
      <c r="N128" s="289"/>
      <c r="O128" s="289"/>
      <c r="P128" s="290"/>
      <c r="Q128" s="21"/>
      <c r="R128" s="21"/>
      <c r="S128" s="21"/>
      <c r="T128" s="110"/>
      <c r="U128" s="22"/>
      <c r="V128" s="21"/>
      <c r="W128" s="21"/>
      <c r="X128" s="21"/>
      <c r="Y128" s="19"/>
      <c r="Z128" s="19"/>
      <c r="AA128" s="20"/>
      <c r="AB128" s="147"/>
      <c r="AC128" s="147"/>
    </row>
    <row r="129" spans="1:29" ht="45.75" x14ac:dyDescent="0.25">
      <c r="A129" s="297"/>
      <c r="B129" s="297"/>
      <c r="C129" s="297"/>
      <c r="D129" s="297"/>
      <c r="E129" s="297"/>
      <c r="F129" s="297"/>
      <c r="G129" s="297"/>
      <c r="H129" s="23"/>
      <c r="I129" s="112"/>
      <c r="J129" s="24"/>
      <c r="K129" s="112"/>
      <c r="L129" s="24"/>
      <c r="M129" s="24"/>
      <c r="N129" s="24"/>
      <c r="O129" s="24"/>
      <c r="P129" s="112"/>
      <c r="Q129" s="24"/>
      <c r="R129" s="24"/>
      <c r="S129" s="24"/>
      <c r="T129" s="112"/>
      <c r="U129" s="25"/>
      <c r="V129" s="19"/>
      <c r="W129" s="19"/>
      <c r="X129" s="293"/>
      <c r="AB129" s="147"/>
      <c r="AC129" s="147"/>
    </row>
    <row r="130" spans="1:29" ht="61.5" x14ac:dyDescent="0.25">
      <c r="A130" s="297"/>
      <c r="B130" s="297"/>
      <c r="C130" s="297"/>
      <c r="D130" s="297"/>
      <c r="E130" s="297"/>
      <c r="F130" s="297"/>
      <c r="G130" s="297"/>
      <c r="H130" s="24"/>
      <c r="I130" s="112"/>
      <c r="J130" s="24"/>
      <c r="K130" s="112"/>
      <c r="L130" s="24"/>
      <c r="M130" s="24"/>
      <c r="N130" s="24"/>
      <c r="O130" s="24"/>
      <c r="P130" s="112"/>
      <c r="Q130" s="24"/>
      <c r="R130" s="24"/>
      <c r="S130" s="24"/>
      <c r="T130" s="112"/>
      <c r="U130" s="25"/>
      <c r="V130" s="19"/>
      <c r="W130" s="19"/>
      <c r="X130" s="293"/>
      <c r="Y130" s="293"/>
      <c r="Z130" s="19"/>
      <c r="AA130" s="26"/>
      <c r="AB130" s="147"/>
      <c r="AC130" s="147"/>
    </row>
    <row r="137" spans="1:29" x14ac:dyDescent="0.25">
      <c r="A137" s="99"/>
      <c r="B137" s="99"/>
      <c r="C137" s="99"/>
      <c r="D137" s="99"/>
      <c r="E137" s="99"/>
    </row>
    <row r="138" spans="1:29" ht="85.5" customHeight="1" x14ac:dyDescent="0.25">
      <c r="A138" s="99"/>
      <c r="B138" s="99"/>
      <c r="C138" s="99"/>
      <c r="D138" s="99"/>
      <c r="E138" s="99"/>
      <c r="Y138" s="99"/>
      <c r="Z138" s="99"/>
      <c r="AA138" s="99"/>
    </row>
    <row r="145" spans="1:27" ht="9" customHeight="1" x14ac:dyDescent="0.25"/>
    <row r="146" spans="1:27" ht="3" hidden="1" customHeight="1" x14ac:dyDescent="0.25"/>
    <row r="147" spans="1:27" hidden="1" x14ac:dyDescent="0.25"/>
    <row r="148" spans="1:27" hidden="1" x14ac:dyDescent="0.25"/>
    <row r="155" spans="1:27" ht="67.5" customHeight="1" x14ac:dyDescent="0.25">
      <c r="A155" s="297" t="s">
        <v>353</v>
      </c>
      <c r="B155" s="297"/>
      <c r="C155" s="297"/>
      <c r="D155" s="297"/>
      <c r="E155" s="297"/>
      <c r="F155" s="297"/>
      <c r="G155" s="297"/>
    </row>
    <row r="156" spans="1:27" ht="75" customHeight="1" x14ac:dyDescent="0.85">
      <c r="A156" s="297"/>
      <c r="B156" s="297"/>
      <c r="C156" s="297"/>
      <c r="D156" s="297"/>
      <c r="E156" s="297"/>
      <c r="F156" s="297"/>
      <c r="G156" s="297"/>
      <c r="Y156" s="316" t="s">
        <v>221</v>
      </c>
      <c r="Z156" s="316"/>
      <c r="AA156" s="316"/>
    </row>
    <row r="157" spans="1:27" ht="31.5" hidden="1" customHeight="1" x14ac:dyDescent="0.25">
      <c r="A157" s="297"/>
      <c r="B157" s="297"/>
      <c r="C157" s="297"/>
      <c r="D157" s="297"/>
      <c r="E157" s="297"/>
      <c r="F157" s="297"/>
      <c r="G157" s="297"/>
      <c r="Y157" s="99"/>
      <c r="Z157" s="99"/>
      <c r="AA157" s="99"/>
    </row>
    <row r="193" spans="1:2" x14ac:dyDescent="0.65">
      <c r="A193" s="354" t="s">
        <v>243</v>
      </c>
      <c r="B193" s="354"/>
    </row>
    <row r="194" spans="1:2" x14ac:dyDescent="0.65">
      <c r="A194" s="354" t="s">
        <v>244</v>
      </c>
      <c r="B194" s="354"/>
    </row>
  </sheetData>
  <mergeCells count="637">
    <mergeCell ref="AD21:AD22"/>
    <mergeCell ref="AD25:AD26"/>
    <mergeCell ref="AE25:AE26"/>
    <mergeCell ref="AF25:AF26"/>
    <mergeCell ref="AD28:AD29"/>
    <mergeCell ref="AF28:AF29"/>
    <mergeCell ref="AE28:AE29"/>
    <mergeCell ref="V11:V12"/>
    <mergeCell ref="W11:W12"/>
    <mergeCell ref="X11:X12"/>
    <mergeCell ref="Y11:Y12"/>
    <mergeCell ref="Z11:Z12"/>
    <mergeCell ref="AA11:AA12"/>
    <mergeCell ref="AD13:AD14"/>
    <mergeCell ref="AD16:AD17"/>
    <mergeCell ref="AD18:AD19"/>
    <mergeCell ref="V25:V26"/>
    <mergeCell ref="V16:V17"/>
    <mergeCell ref="AA13:AA14"/>
    <mergeCell ref="Z13:Z14"/>
    <mergeCell ref="Y13:Y14"/>
    <mergeCell ref="X13:X14"/>
    <mergeCell ref="W13:W14"/>
    <mergeCell ref="A193:B193"/>
    <mergeCell ref="A194:B194"/>
    <mergeCell ref="V39:V40"/>
    <mergeCell ref="U39:U40"/>
    <mergeCell ref="AA39:AA40"/>
    <mergeCell ref="Z39:Z40"/>
    <mergeCell ref="Y39:Y40"/>
    <mergeCell ref="X39:X40"/>
    <mergeCell ref="W39:W40"/>
    <mergeCell ref="E39:E40"/>
    <mergeCell ref="D39:D40"/>
    <mergeCell ref="T39:T40"/>
    <mergeCell ref="S39:S40"/>
    <mergeCell ref="R39:R40"/>
    <mergeCell ref="Q39:Q40"/>
    <mergeCell ref="P39:P40"/>
    <mergeCell ref="C39:C40"/>
    <mergeCell ref="B39:B40"/>
    <mergeCell ref="A39:A40"/>
    <mergeCell ref="J39:J40"/>
    <mergeCell ref="I39:I40"/>
    <mergeCell ref="H39:H40"/>
    <mergeCell ref="G39:G40"/>
    <mergeCell ref="F39:F40"/>
    <mergeCell ref="O39:O40"/>
    <mergeCell ref="N39:N40"/>
    <mergeCell ref="M39:M40"/>
    <mergeCell ref="L39:L40"/>
    <mergeCell ref="K39:K40"/>
    <mergeCell ref="B37:B38"/>
    <mergeCell ref="A37:A38"/>
    <mergeCell ref="AA37:AA38"/>
    <mergeCell ref="Z37:Z38"/>
    <mergeCell ref="Y37:Y38"/>
    <mergeCell ref="X37:X38"/>
    <mergeCell ref="W37:W38"/>
    <mergeCell ref="V37:V38"/>
    <mergeCell ref="U37:U38"/>
    <mergeCell ref="G37:G38"/>
    <mergeCell ref="F37:F38"/>
    <mergeCell ref="E37:E38"/>
    <mergeCell ref="D37:D38"/>
    <mergeCell ref="C37:C38"/>
    <mergeCell ref="L37:L38"/>
    <mergeCell ref="K37:K38"/>
    <mergeCell ref="J37:J38"/>
    <mergeCell ref="I37:I38"/>
    <mergeCell ref="H37:H38"/>
    <mergeCell ref="Q37:Q38"/>
    <mergeCell ref="P37:P38"/>
    <mergeCell ref="O37:O38"/>
    <mergeCell ref="N37:N38"/>
    <mergeCell ref="M37:M38"/>
    <mergeCell ref="V34:V35"/>
    <mergeCell ref="U34:U35"/>
    <mergeCell ref="T37:T38"/>
    <mergeCell ref="S37:S38"/>
    <mergeCell ref="R37:R38"/>
    <mergeCell ref="AA34:AA35"/>
    <mergeCell ref="Z34:Z35"/>
    <mergeCell ref="Y34:Y35"/>
    <mergeCell ref="X34:X35"/>
    <mergeCell ref="W34:W35"/>
    <mergeCell ref="E34:E35"/>
    <mergeCell ref="D34:D35"/>
    <mergeCell ref="C34:C35"/>
    <mergeCell ref="B34:B35"/>
    <mergeCell ref="T34:T35"/>
    <mergeCell ref="S34:S35"/>
    <mergeCell ref="R34:R35"/>
    <mergeCell ref="Q34:Q35"/>
    <mergeCell ref="P34:P35"/>
    <mergeCell ref="A34:A35"/>
    <mergeCell ref="J34:J35"/>
    <mergeCell ref="I34:I35"/>
    <mergeCell ref="H34:H35"/>
    <mergeCell ref="G34:G35"/>
    <mergeCell ref="F34:F35"/>
    <mergeCell ref="O34:O35"/>
    <mergeCell ref="N34:N35"/>
    <mergeCell ref="M34:M35"/>
    <mergeCell ref="L34:L35"/>
    <mergeCell ref="K34:K35"/>
    <mergeCell ref="B28:B29"/>
    <mergeCell ref="A28:A29"/>
    <mergeCell ref="AA28:AA29"/>
    <mergeCell ref="Z28:Z29"/>
    <mergeCell ref="Y28:Y29"/>
    <mergeCell ref="X28:X29"/>
    <mergeCell ref="W28:W29"/>
    <mergeCell ref="V28:V29"/>
    <mergeCell ref="U28:U29"/>
    <mergeCell ref="G28:G29"/>
    <mergeCell ref="F28:F29"/>
    <mergeCell ref="E28:E29"/>
    <mergeCell ref="D28:D29"/>
    <mergeCell ref="C28:C29"/>
    <mergeCell ref="L28:L29"/>
    <mergeCell ref="K28:K29"/>
    <mergeCell ref="J28:J29"/>
    <mergeCell ref="I28:I29"/>
    <mergeCell ref="H28:H29"/>
    <mergeCell ref="Q28:Q29"/>
    <mergeCell ref="P28:P29"/>
    <mergeCell ref="O28:O29"/>
    <mergeCell ref="N28:N29"/>
    <mergeCell ref="M28:M29"/>
    <mergeCell ref="U25:U26"/>
    <mergeCell ref="T28:T29"/>
    <mergeCell ref="S28:S29"/>
    <mergeCell ref="R28:R29"/>
    <mergeCell ref="AA25:AA26"/>
    <mergeCell ref="Z25:Z26"/>
    <mergeCell ref="Y25:Y26"/>
    <mergeCell ref="X25:X26"/>
    <mergeCell ref="W25:W26"/>
    <mergeCell ref="E25:E26"/>
    <mergeCell ref="D25:D26"/>
    <mergeCell ref="C25:C26"/>
    <mergeCell ref="B25:B26"/>
    <mergeCell ref="A25:A26"/>
    <mergeCell ref="J25:J26"/>
    <mergeCell ref="I25:I26"/>
    <mergeCell ref="H25:H26"/>
    <mergeCell ref="G25:G26"/>
    <mergeCell ref="F25:F26"/>
    <mergeCell ref="O25:O26"/>
    <mergeCell ref="N25:N26"/>
    <mergeCell ref="M25:M26"/>
    <mergeCell ref="L25:L26"/>
    <mergeCell ref="K25:K26"/>
    <mergeCell ref="T25:T26"/>
    <mergeCell ref="S25:S26"/>
    <mergeCell ref="R25:R26"/>
    <mergeCell ref="Q25:Q26"/>
    <mergeCell ref="P25:P26"/>
    <mergeCell ref="B120:B121"/>
    <mergeCell ref="A120:A121"/>
    <mergeCell ref="AA120:AA121"/>
    <mergeCell ref="Z120:Z121"/>
    <mergeCell ref="Y120:Y121"/>
    <mergeCell ref="X120:X121"/>
    <mergeCell ref="W120:W121"/>
    <mergeCell ref="V120:V121"/>
    <mergeCell ref="U120:U121"/>
    <mergeCell ref="G120:G121"/>
    <mergeCell ref="F120:F121"/>
    <mergeCell ref="E120:E121"/>
    <mergeCell ref="D120:D121"/>
    <mergeCell ref="C120:C121"/>
    <mergeCell ref="L120:L121"/>
    <mergeCell ref="K120:K121"/>
    <mergeCell ref="J120:J121"/>
    <mergeCell ref="I120:I121"/>
    <mergeCell ref="H120:H121"/>
    <mergeCell ref="Q120:Q121"/>
    <mergeCell ref="P120:P121"/>
    <mergeCell ref="O120:O121"/>
    <mergeCell ref="N120:N121"/>
    <mergeCell ref="M120:M121"/>
    <mergeCell ref="Z94:Z95"/>
    <mergeCell ref="AA94:AA95"/>
    <mergeCell ref="A94:A95"/>
    <mergeCell ref="B94:B95"/>
    <mergeCell ref="C94:C95"/>
    <mergeCell ref="D94:D95"/>
    <mergeCell ref="E94:E95"/>
    <mergeCell ref="F94:F95"/>
    <mergeCell ref="G94:G95"/>
    <mergeCell ref="H94:H95"/>
    <mergeCell ref="I94:I95"/>
    <mergeCell ref="J94:J95"/>
    <mergeCell ref="K94:K95"/>
    <mergeCell ref="L94:L95"/>
    <mergeCell ref="M94:M95"/>
    <mergeCell ref="N94:N95"/>
    <mergeCell ref="U94:U95"/>
    <mergeCell ref="V94:V95"/>
    <mergeCell ref="W94:W95"/>
    <mergeCell ref="X94:X95"/>
    <mergeCell ref="Y94:Y95"/>
    <mergeCell ref="P94:P95"/>
    <mergeCell ref="Q94:Q95"/>
    <mergeCell ref="R94:R95"/>
    <mergeCell ref="S94:S95"/>
    <mergeCell ref="T94:T95"/>
    <mergeCell ref="K108:K109"/>
    <mergeCell ref="L108:L109"/>
    <mergeCell ref="M108:M109"/>
    <mergeCell ref="N108:N109"/>
    <mergeCell ref="O94:O95"/>
    <mergeCell ref="F108:F109"/>
    <mergeCell ref="G108:G109"/>
    <mergeCell ref="H108:H109"/>
    <mergeCell ref="I108:I109"/>
    <mergeCell ref="J108:J109"/>
    <mergeCell ref="A108:A109"/>
    <mergeCell ref="B108:B109"/>
    <mergeCell ref="C108:C109"/>
    <mergeCell ref="D108:D109"/>
    <mergeCell ref="E108:E109"/>
    <mergeCell ref="W108:W109"/>
    <mergeCell ref="X108:X109"/>
    <mergeCell ref="Y108:Y109"/>
    <mergeCell ref="Z108:Z109"/>
    <mergeCell ref="AA118:AA119"/>
    <mergeCell ref="Z118:Z119"/>
    <mergeCell ref="Y118:Y119"/>
    <mergeCell ref="X118:X119"/>
    <mergeCell ref="W118:W119"/>
    <mergeCell ref="V118:V119"/>
    <mergeCell ref="U118:U119"/>
    <mergeCell ref="B118:B119"/>
    <mergeCell ref="AA108:AA109"/>
    <mergeCell ref="O108:O109"/>
    <mergeCell ref="P108:P109"/>
    <mergeCell ref="Q108:Q109"/>
    <mergeCell ref="R108:R109"/>
    <mergeCell ref="S108:S109"/>
    <mergeCell ref="H118:H119"/>
    <mergeCell ref="G118:G119"/>
    <mergeCell ref="F118:F119"/>
    <mergeCell ref="A118:A119"/>
    <mergeCell ref="C118:C119"/>
    <mergeCell ref="D118:D119"/>
    <mergeCell ref="T118:T119"/>
    <mergeCell ref="S118:S119"/>
    <mergeCell ref="R118:R119"/>
    <mergeCell ref="Q118:Q119"/>
    <mergeCell ref="P118:P119"/>
    <mergeCell ref="O118:O119"/>
    <mergeCell ref="N118:N119"/>
    <mergeCell ref="M118:M119"/>
    <mergeCell ref="L118:L119"/>
    <mergeCell ref="K118:K119"/>
    <mergeCell ref="J118:J119"/>
    <mergeCell ref="I118:I119"/>
    <mergeCell ref="E118:E119"/>
    <mergeCell ref="B123:B124"/>
    <mergeCell ref="A123:A124"/>
    <mergeCell ref="AA123:AA124"/>
    <mergeCell ref="Z123:Z124"/>
    <mergeCell ref="Y123:Y124"/>
    <mergeCell ref="X123:X124"/>
    <mergeCell ref="W123:W124"/>
    <mergeCell ref="V123:V124"/>
    <mergeCell ref="U123:U124"/>
    <mergeCell ref="G123:G124"/>
    <mergeCell ref="F123:F124"/>
    <mergeCell ref="E123:E124"/>
    <mergeCell ref="D123:D124"/>
    <mergeCell ref="C123:C124"/>
    <mergeCell ref="L123:L124"/>
    <mergeCell ref="K123:K124"/>
    <mergeCell ref="J123:J124"/>
    <mergeCell ref="I123:I124"/>
    <mergeCell ref="H123:H124"/>
    <mergeCell ref="Q123:Q124"/>
    <mergeCell ref="P123:P124"/>
    <mergeCell ref="O123:O124"/>
    <mergeCell ref="N123:N124"/>
    <mergeCell ref="M123:M124"/>
    <mergeCell ref="T123:T124"/>
    <mergeCell ref="S123:S124"/>
    <mergeCell ref="R123:R124"/>
    <mergeCell ref="T108:T109"/>
    <mergeCell ref="U108:U109"/>
    <mergeCell ref="V108:V109"/>
    <mergeCell ref="T120:T121"/>
    <mergeCell ref="S120:S121"/>
    <mergeCell ref="R120:R121"/>
    <mergeCell ref="AA101:AA102"/>
    <mergeCell ref="Z101:Z102"/>
    <mergeCell ref="Y101:Y102"/>
    <mergeCell ref="X101:X102"/>
    <mergeCell ref="W101:W102"/>
    <mergeCell ref="E101:E102"/>
    <mergeCell ref="D101:D102"/>
    <mergeCell ref="C101:C102"/>
    <mergeCell ref="B101:B102"/>
    <mergeCell ref="T101:T102"/>
    <mergeCell ref="S101:S102"/>
    <mergeCell ref="R101:R102"/>
    <mergeCell ref="Q101:Q102"/>
    <mergeCell ref="P101:P102"/>
    <mergeCell ref="V101:V102"/>
    <mergeCell ref="U101:U102"/>
    <mergeCell ref="A101:A102"/>
    <mergeCell ref="J101:J102"/>
    <mergeCell ref="I101:I102"/>
    <mergeCell ref="H101:H102"/>
    <mergeCell ref="G101:G102"/>
    <mergeCell ref="F101:F102"/>
    <mergeCell ref="O101:O102"/>
    <mergeCell ref="N101:N102"/>
    <mergeCell ref="M101:M102"/>
    <mergeCell ref="L101:L102"/>
    <mergeCell ref="K101:K102"/>
    <mergeCell ref="A91:A92"/>
    <mergeCell ref="B91:B92"/>
    <mergeCell ref="C91:C92"/>
    <mergeCell ref="D91:D92"/>
    <mergeCell ref="E91:E92"/>
    <mergeCell ref="F91:F92"/>
    <mergeCell ref="G91:G92"/>
    <mergeCell ref="H91:H92"/>
    <mergeCell ref="I91:I92"/>
    <mergeCell ref="U91:U92"/>
    <mergeCell ref="AA91:AA92"/>
    <mergeCell ref="Z91:Z92"/>
    <mergeCell ref="Y91:Y92"/>
    <mergeCell ref="X91:X92"/>
    <mergeCell ref="W91:W92"/>
    <mergeCell ref="V91:V92"/>
    <mergeCell ref="C87:C89"/>
    <mergeCell ref="B87:B89"/>
    <mergeCell ref="T91:T92"/>
    <mergeCell ref="O91:O92"/>
    <mergeCell ref="P91:P92"/>
    <mergeCell ref="Q91:Q92"/>
    <mergeCell ref="R91:R92"/>
    <mergeCell ref="S91:S92"/>
    <mergeCell ref="J91:J92"/>
    <mergeCell ref="K91:K92"/>
    <mergeCell ref="L91:L92"/>
    <mergeCell ref="M91:M92"/>
    <mergeCell ref="N91:N92"/>
    <mergeCell ref="AA87:AA89"/>
    <mergeCell ref="Z87:Z89"/>
    <mergeCell ref="Y87:Y89"/>
    <mergeCell ref="X87:X89"/>
    <mergeCell ref="W87:W89"/>
    <mergeCell ref="V87:V89"/>
    <mergeCell ref="H87:H89"/>
    <mergeCell ref="G87:G89"/>
    <mergeCell ref="F87:F89"/>
    <mergeCell ref="M87:M89"/>
    <mergeCell ref="L87:L89"/>
    <mergeCell ref="K87:K89"/>
    <mergeCell ref="J87:J89"/>
    <mergeCell ref="I87:I89"/>
    <mergeCell ref="T87:T89"/>
    <mergeCell ref="S87:S89"/>
    <mergeCell ref="R87:R89"/>
    <mergeCell ref="Q87:Q89"/>
    <mergeCell ref="P87:P89"/>
    <mergeCell ref="O87:O89"/>
    <mergeCell ref="N87:N89"/>
    <mergeCell ref="A87:A89"/>
    <mergeCell ref="U87:U89"/>
    <mergeCell ref="E87:E89"/>
    <mergeCell ref="D87:D89"/>
    <mergeCell ref="AA80:AA81"/>
    <mergeCell ref="Z80:Z81"/>
    <mergeCell ref="Y80:Y81"/>
    <mergeCell ref="X80:X81"/>
    <mergeCell ref="W80:W81"/>
    <mergeCell ref="E80:E81"/>
    <mergeCell ref="D80:D81"/>
    <mergeCell ref="C80:C81"/>
    <mergeCell ref="B80:B81"/>
    <mergeCell ref="T80:T81"/>
    <mergeCell ref="S80:S81"/>
    <mergeCell ref="R80:R81"/>
    <mergeCell ref="Q80:Q81"/>
    <mergeCell ref="P80:P81"/>
    <mergeCell ref="V80:V81"/>
    <mergeCell ref="U80:U81"/>
    <mergeCell ref="A80:A81"/>
    <mergeCell ref="J80:J81"/>
    <mergeCell ref="I80:I81"/>
    <mergeCell ref="H80:H81"/>
    <mergeCell ref="G80:G81"/>
    <mergeCell ref="F80:F81"/>
    <mergeCell ref="O80:O81"/>
    <mergeCell ref="N80:N81"/>
    <mergeCell ref="M80:M81"/>
    <mergeCell ref="L80:L81"/>
    <mergeCell ref="K80:K81"/>
    <mergeCell ref="V55:V56"/>
    <mergeCell ref="U55:U56"/>
    <mergeCell ref="O55:O56"/>
    <mergeCell ref="N55:N56"/>
    <mergeCell ref="M55:M56"/>
    <mergeCell ref="AA55:AA56"/>
    <mergeCell ref="Z55:Z56"/>
    <mergeCell ref="Y55:Y56"/>
    <mergeCell ref="X55:X56"/>
    <mergeCell ref="W55:W56"/>
    <mergeCell ref="D55:D56"/>
    <mergeCell ref="C55:C56"/>
    <mergeCell ref="B55:B56"/>
    <mergeCell ref="A55:A56"/>
    <mergeCell ref="J55:J56"/>
    <mergeCell ref="I55:I56"/>
    <mergeCell ref="H55:H56"/>
    <mergeCell ref="G55:G56"/>
    <mergeCell ref="F55:F56"/>
    <mergeCell ref="T55:T56"/>
    <mergeCell ref="S55:S56"/>
    <mergeCell ref="R55:R56"/>
    <mergeCell ref="Q55:Q56"/>
    <mergeCell ref="P55:P56"/>
    <mergeCell ref="R51:R52"/>
    <mergeCell ref="S51:S52"/>
    <mergeCell ref="T51:T52"/>
    <mergeCell ref="E55:E56"/>
    <mergeCell ref="J51:J52"/>
    <mergeCell ref="K51:K52"/>
    <mergeCell ref="L51:L52"/>
    <mergeCell ref="M51:M52"/>
    <mergeCell ref="N51:N52"/>
    <mergeCell ref="O51:O52"/>
    <mergeCell ref="P51:P52"/>
    <mergeCell ref="Q51:Q52"/>
    <mergeCell ref="I48:I49"/>
    <mergeCell ref="J48:J49"/>
    <mergeCell ref="E51:E52"/>
    <mergeCell ref="F51:F52"/>
    <mergeCell ref="G51:G52"/>
    <mergeCell ref="H51:H52"/>
    <mergeCell ref="I51:I52"/>
    <mergeCell ref="L55:L56"/>
    <mergeCell ref="K55:K56"/>
    <mergeCell ref="AA43:AA44"/>
    <mergeCell ref="Z43:Z44"/>
    <mergeCell ref="Y43:Y44"/>
    <mergeCell ref="X43:X44"/>
    <mergeCell ref="W43:W44"/>
    <mergeCell ref="V43:V44"/>
    <mergeCell ref="U43:U44"/>
    <mergeCell ref="W51:W52"/>
    <mergeCell ref="V51:V52"/>
    <mergeCell ref="U51:U52"/>
    <mergeCell ref="U48:U49"/>
    <mergeCell ref="W48:W49"/>
    <mergeCell ref="X48:X49"/>
    <mergeCell ref="Y48:Y49"/>
    <mergeCell ref="Z48:Z49"/>
    <mergeCell ref="AA48:AA49"/>
    <mergeCell ref="AA51:AA52"/>
    <mergeCell ref="P43:P44"/>
    <mergeCell ref="V48:V49"/>
    <mergeCell ref="R48:R49"/>
    <mergeCell ref="S48:S49"/>
    <mergeCell ref="T48:T49"/>
    <mergeCell ref="O48:O49"/>
    <mergeCell ref="P48:P49"/>
    <mergeCell ref="Q48:Q49"/>
    <mergeCell ref="A51:A52"/>
    <mergeCell ref="B51:B52"/>
    <mergeCell ref="C51:C52"/>
    <mergeCell ref="D51:D52"/>
    <mergeCell ref="A48:A49"/>
    <mergeCell ref="B48:B49"/>
    <mergeCell ref="C48:C49"/>
    <mergeCell ref="D48:D49"/>
    <mergeCell ref="E48:E49"/>
    <mergeCell ref="K48:K49"/>
    <mergeCell ref="L48:L49"/>
    <mergeCell ref="M48:M49"/>
    <mergeCell ref="N48:N49"/>
    <mergeCell ref="F48:F49"/>
    <mergeCell ref="G48:G49"/>
    <mergeCell ref="H48:H49"/>
    <mergeCell ref="P21:P22"/>
    <mergeCell ref="Q21:Q22"/>
    <mergeCell ref="R21:R22"/>
    <mergeCell ref="S21:S22"/>
    <mergeCell ref="T21:T22"/>
    <mergeCell ref="K21:K22"/>
    <mergeCell ref="L21:L22"/>
    <mergeCell ref="M21:M22"/>
    <mergeCell ref="N21:N22"/>
    <mergeCell ref="O21:O22"/>
    <mergeCell ref="F21:F22"/>
    <mergeCell ref="G21:G22"/>
    <mergeCell ref="H21:H22"/>
    <mergeCell ref="I21:I22"/>
    <mergeCell ref="J21:J22"/>
    <mergeCell ref="A21:A22"/>
    <mergeCell ref="B21:B22"/>
    <mergeCell ref="C21:C22"/>
    <mergeCell ref="D21:D22"/>
    <mergeCell ref="E21:E22"/>
    <mergeCell ref="A18:A19"/>
    <mergeCell ref="AA18:AA19"/>
    <mergeCell ref="Z18:Z19"/>
    <mergeCell ref="Y18:Y19"/>
    <mergeCell ref="X18:X19"/>
    <mergeCell ref="W18:W19"/>
    <mergeCell ref="V18:V19"/>
    <mergeCell ref="U18:U19"/>
    <mergeCell ref="G18:G19"/>
    <mergeCell ref="F18:F19"/>
    <mergeCell ref="E18:E19"/>
    <mergeCell ref="D18:D19"/>
    <mergeCell ref="C18:C19"/>
    <mergeCell ref="L18:L19"/>
    <mergeCell ref="K18:K19"/>
    <mergeCell ref="J18:J19"/>
    <mergeCell ref="I18:I19"/>
    <mergeCell ref="H18:H19"/>
    <mergeCell ref="Q18:Q19"/>
    <mergeCell ref="P18:P19"/>
    <mergeCell ref="O18:O19"/>
    <mergeCell ref="N18:N19"/>
    <mergeCell ref="M18:M19"/>
    <mergeCell ref="B18:B19"/>
    <mergeCell ref="X21:X22"/>
    <mergeCell ref="W21:W22"/>
    <mergeCell ref="V21:V22"/>
    <mergeCell ref="AA16:AA17"/>
    <mergeCell ref="Z16:Z17"/>
    <mergeCell ref="Y16:Y17"/>
    <mergeCell ref="X16:X17"/>
    <mergeCell ref="W16:W17"/>
    <mergeCell ref="U16:U17"/>
    <mergeCell ref="A1:AA1"/>
    <mergeCell ref="A2:AA2"/>
    <mergeCell ref="A3:AA3"/>
    <mergeCell ref="A4:AA4"/>
    <mergeCell ref="A5:AA5"/>
    <mergeCell ref="U13:U14"/>
    <mergeCell ref="J13:J14"/>
    <mergeCell ref="I13:I14"/>
    <mergeCell ref="H13:H14"/>
    <mergeCell ref="G13:G14"/>
    <mergeCell ref="F13:F14"/>
    <mergeCell ref="U7:U9"/>
    <mergeCell ref="V7:Y8"/>
    <mergeCell ref="Z7:Z9"/>
    <mergeCell ref="AA7:AA9"/>
    <mergeCell ref="A7:A9"/>
    <mergeCell ref="B7:B9"/>
    <mergeCell ref="C7:C9"/>
    <mergeCell ref="D7:H8"/>
    <mergeCell ref="I7:M7"/>
    <mergeCell ref="V13:V14"/>
    <mergeCell ref="O13:O14"/>
    <mergeCell ref="N13:N14"/>
    <mergeCell ref="M13:M14"/>
    <mergeCell ref="AF34:AF35"/>
    <mergeCell ref="AE34:AE35"/>
    <mergeCell ref="AD34:AD35"/>
    <mergeCell ref="A129:G130"/>
    <mergeCell ref="Y156:AA156"/>
    <mergeCell ref="A43:A44"/>
    <mergeCell ref="J43:J44"/>
    <mergeCell ref="I43:I44"/>
    <mergeCell ref="H43:H44"/>
    <mergeCell ref="G43:G44"/>
    <mergeCell ref="F43:F44"/>
    <mergeCell ref="O43:O44"/>
    <mergeCell ref="N43:N44"/>
    <mergeCell ref="M43:M44"/>
    <mergeCell ref="L43:L44"/>
    <mergeCell ref="K43:K44"/>
    <mergeCell ref="E43:E44"/>
    <mergeCell ref="Z51:Z52"/>
    <mergeCell ref="Y51:Y52"/>
    <mergeCell ref="X51:X52"/>
    <mergeCell ref="T43:T44"/>
    <mergeCell ref="S43:S44"/>
    <mergeCell ref="R43:R44"/>
    <mergeCell ref="Q43:Q44"/>
    <mergeCell ref="AD37:AD38"/>
    <mergeCell ref="A13:A14"/>
    <mergeCell ref="B13:B14"/>
    <mergeCell ref="C13:C14"/>
    <mergeCell ref="D13:D14"/>
    <mergeCell ref="A16:A17"/>
    <mergeCell ref="J16:J17"/>
    <mergeCell ref="I16:I17"/>
    <mergeCell ref="H16:H17"/>
    <mergeCell ref="G16:G17"/>
    <mergeCell ref="F16:F17"/>
    <mergeCell ref="O16:O17"/>
    <mergeCell ref="N16:N17"/>
    <mergeCell ref="M16:M17"/>
    <mergeCell ref="L16:L17"/>
    <mergeCell ref="K16:K17"/>
    <mergeCell ref="C16:C17"/>
    <mergeCell ref="B16:B17"/>
    <mergeCell ref="T18:T19"/>
    <mergeCell ref="S18:S19"/>
    <mergeCell ref="R18:R19"/>
    <mergeCell ref="L13:L14"/>
    <mergeCell ref="K13:K14"/>
    <mergeCell ref="D16:D17"/>
    <mergeCell ref="A126:AA126"/>
    <mergeCell ref="A155:G157"/>
    <mergeCell ref="D43:D44"/>
    <mergeCell ref="C43:C44"/>
    <mergeCell ref="B43:B44"/>
    <mergeCell ref="I8:L8"/>
    <mergeCell ref="N7:S8"/>
    <mergeCell ref="T7:T9"/>
    <mergeCell ref="AB28:AB29"/>
    <mergeCell ref="E16:E17"/>
    <mergeCell ref="E13:E14"/>
    <mergeCell ref="T13:T14"/>
    <mergeCell ref="S13:S14"/>
    <mergeCell ref="R13:R14"/>
    <mergeCell ref="Q13:Q14"/>
    <mergeCell ref="P13:P14"/>
    <mergeCell ref="T16:T17"/>
    <mergeCell ref="S16:S17"/>
    <mergeCell ref="R16:R17"/>
    <mergeCell ref="Q16:Q17"/>
    <mergeCell ref="P16:P17"/>
    <mergeCell ref="U21:U22"/>
    <mergeCell ref="AA21:AA22"/>
    <mergeCell ref="Y21:Y22"/>
  </mergeCells>
  <pageMargins left="0.70866141732283472" right="0.70866141732283472" top="0.74803149606299213" bottom="0.74803149606299213" header="0.31496062992125984" footer="0.31496062992125984"/>
  <pageSetup paperSize="9" scale="14" fitToHeight="0" orientation="landscape" r:id="rId1"/>
  <rowBreaks count="2" manualBreakCount="2">
    <brk id="21" max="26" man="1"/>
    <brk id="31" max="26" man="1"/>
  </rowBreaks>
  <colBreaks count="1" manualBreakCount="1">
    <brk id="2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view="pageBreakPreview" topLeftCell="A35" zoomScale="80" zoomScaleNormal="100" zoomScaleSheetLayoutView="80" workbookViewId="0">
      <selection activeCell="F36" sqref="F36"/>
    </sheetView>
  </sheetViews>
  <sheetFormatPr defaultColWidth="9.140625" defaultRowHeight="15" x14ac:dyDescent="0.25"/>
  <cols>
    <col min="1" max="1" width="9.140625" style="99"/>
    <col min="2" max="2" width="31.140625" style="99" customWidth="1"/>
    <col min="3" max="4" width="9.140625" style="99"/>
    <col min="5" max="5" width="9.140625" style="205"/>
    <col min="6" max="6" width="14.85546875" style="99" customWidth="1"/>
    <col min="7" max="7" width="25.140625" style="99" customWidth="1"/>
    <col min="8" max="16384" width="9.140625" style="99"/>
  </cols>
  <sheetData>
    <row r="1" spans="1:8" ht="18.75" x14ac:dyDescent="0.3">
      <c r="A1" s="368" t="s">
        <v>119</v>
      </c>
      <c r="B1" s="368"/>
      <c r="C1" s="368"/>
      <c r="D1" s="368"/>
      <c r="E1" s="368"/>
      <c r="F1" s="368"/>
      <c r="G1" s="368"/>
    </row>
    <row r="2" spans="1:8" ht="18.75" x14ac:dyDescent="0.3">
      <c r="A2" s="368" t="s">
        <v>120</v>
      </c>
      <c r="B2" s="368"/>
      <c r="C2" s="368"/>
      <c r="D2" s="368"/>
      <c r="E2" s="368"/>
      <c r="F2" s="368"/>
      <c r="G2" s="368"/>
    </row>
    <row r="3" spans="1:8" ht="18.75" x14ac:dyDescent="0.3">
      <c r="A3" s="368" t="s">
        <v>2</v>
      </c>
      <c r="B3" s="368"/>
      <c r="C3" s="368"/>
      <c r="D3" s="368"/>
      <c r="E3" s="368"/>
      <c r="F3" s="368"/>
      <c r="G3" s="368"/>
    </row>
    <row r="4" spans="1:8" ht="18.75" x14ac:dyDescent="0.3">
      <c r="A4" s="368" t="s">
        <v>408</v>
      </c>
      <c r="B4" s="368"/>
      <c r="C4" s="368"/>
      <c r="D4" s="368"/>
      <c r="E4" s="368"/>
      <c r="F4" s="368"/>
      <c r="G4" s="368"/>
    </row>
    <row r="5" spans="1:8" ht="15.75" x14ac:dyDescent="0.25">
      <c r="A5" s="27"/>
      <c r="B5" s="28"/>
      <c r="C5" s="28"/>
      <c r="D5" s="28"/>
      <c r="E5" s="28"/>
      <c r="F5" s="29"/>
      <c r="G5" s="28"/>
    </row>
    <row r="6" spans="1:8" ht="15" customHeight="1" x14ac:dyDescent="0.25">
      <c r="A6" s="369" t="s">
        <v>121</v>
      </c>
      <c r="B6" s="370" t="s">
        <v>122</v>
      </c>
      <c r="C6" s="370" t="s">
        <v>123</v>
      </c>
      <c r="D6" s="371" t="s">
        <v>238</v>
      </c>
      <c r="E6" s="371"/>
      <c r="F6" s="371"/>
      <c r="G6" s="370" t="s">
        <v>124</v>
      </c>
    </row>
    <row r="7" spans="1:8" ht="76.5" x14ac:dyDescent="0.25">
      <c r="A7" s="369"/>
      <c r="B7" s="370"/>
      <c r="C7" s="370"/>
      <c r="D7" s="30" t="s">
        <v>449</v>
      </c>
      <c r="E7" s="370" t="s">
        <v>125</v>
      </c>
      <c r="F7" s="370"/>
      <c r="G7" s="370"/>
    </row>
    <row r="8" spans="1:8" x14ac:dyDescent="0.25">
      <c r="A8" s="369"/>
      <c r="B8" s="370"/>
      <c r="C8" s="370"/>
      <c r="D8" s="30" t="s">
        <v>126</v>
      </c>
      <c r="E8" s="30" t="s">
        <v>127</v>
      </c>
      <c r="F8" s="31" t="s">
        <v>126</v>
      </c>
      <c r="G8" s="370"/>
    </row>
    <row r="9" spans="1:8" x14ac:dyDescent="0.25">
      <c r="A9" s="37">
        <v>1</v>
      </c>
      <c r="B9" s="40">
        <v>2</v>
      </c>
      <c r="C9" s="40">
        <v>3</v>
      </c>
      <c r="D9" s="40">
        <v>4</v>
      </c>
      <c r="E9" s="40">
        <v>5</v>
      </c>
      <c r="F9" s="40">
        <v>6</v>
      </c>
      <c r="G9" s="40">
        <v>7</v>
      </c>
    </row>
    <row r="10" spans="1:8" ht="42.75" customHeight="1" x14ac:dyDescent="0.25">
      <c r="A10" s="32"/>
      <c r="B10" s="33" t="s">
        <v>128</v>
      </c>
      <c r="C10" s="34"/>
      <c r="D10" s="34"/>
      <c r="E10" s="34"/>
      <c r="F10" s="35"/>
      <c r="G10" s="34"/>
    </row>
    <row r="11" spans="1:8" ht="45.75" customHeight="1" x14ac:dyDescent="0.25">
      <c r="A11" s="36" t="s">
        <v>129</v>
      </c>
      <c r="B11" s="34" t="s">
        <v>130</v>
      </c>
      <c r="C11" s="37" t="s">
        <v>30</v>
      </c>
      <c r="D11" s="230">
        <v>8907</v>
      </c>
      <c r="E11" s="230">
        <v>12000</v>
      </c>
      <c r="F11" s="230">
        <v>8846</v>
      </c>
      <c r="G11" s="34" t="s">
        <v>250</v>
      </c>
      <c r="H11" s="99" t="s">
        <v>404</v>
      </c>
    </row>
    <row r="12" spans="1:8" ht="70.5" customHeight="1" x14ac:dyDescent="0.25">
      <c r="A12" s="36" t="s">
        <v>131</v>
      </c>
      <c r="B12" s="34" t="s">
        <v>132</v>
      </c>
      <c r="C12" s="37" t="s">
        <v>133</v>
      </c>
      <c r="D12" s="113">
        <v>106</v>
      </c>
      <c r="E12" s="118">
        <v>100</v>
      </c>
      <c r="F12" s="113">
        <v>100.4</v>
      </c>
      <c r="G12" s="34" t="s">
        <v>31</v>
      </c>
    </row>
    <row r="13" spans="1:8" ht="80.25" customHeight="1" x14ac:dyDescent="0.25">
      <c r="A13" s="36" t="s">
        <v>38</v>
      </c>
      <c r="B13" s="34" t="s">
        <v>134</v>
      </c>
      <c r="C13" s="37" t="s">
        <v>133</v>
      </c>
      <c r="D13" s="113" t="s">
        <v>234</v>
      </c>
      <c r="E13" s="118">
        <v>97.1</v>
      </c>
      <c r="F13" s="113" t="s">
        <v>234</v>
      </c>
      <c r="G13" s="34" t="s">
        <v>400</v>
      </c>
      <c r="H13" s="99" t="s">
        <v>248</v>
      </c>
    </row>
    <row r="14" spans="1:8" ht="96" customHeight="1" x14ac:dyDescent="0.25">
      <c r="A14" s="36" t="s">
        <v>135</v>
      </c>
      <c r="B14" s="34" t="s">
        <v>136</v>
      </c>
      <c r="C14" s="37" t="s">
        <v>133</v>
      </c>
      <c r="D14" s="113" t="s">
        <v>234</v>
      </c>
      <c r="E14" s="118">
        <v>100</v>
      </c>
      <c r="F14" s="113" t="s">
        <v>234</v>
      </c>
      <c r="G14" s="34" t="s">
        <v>400</v>
      </c>
    </row>
    <row r="15" spans="1:8" ht="63.75" customHeight="1" x14ac:dyDescent="0.25">
      <c r="A15" s="36" t="s">
        <v>48</v>
      </c>
      <c r="B15" s="34" t="s">
        <v>137</v>
      </c>
      <c r="C15" s="37" t="s">
        <v>133</v>
      </c>
      <c r="D15" s="113" t="s">
        <v>234</v>
      </c>
      <c r="E15" s="118">
        <v>90</v>
      </c>
      <c r="F15" s="113" t="s">
        <v>234</v>
      </c>
      <c r="G15" s="34" t="s">
        <v>400</v>
      </c>
    </row>
    <row r="16" spans="1:8" ht="108.75" customHeight="1" x14ac:dyDescent="0.25">
      <c r="A16" s="36" t="s">
        <v>138</v>
      </c>
      <c r="B16" s="34" t="s">
        <v>139</v>
      </c>
      <c r="C16" s="37" t="s">
        <v>133</v>
      </c>
      <c r="D16" s="113" t="s">
        <v>234</v>
      </c>
      <c r="E16" s="37">
        <v>17.2</v>
      </c>
      <c r="F16" s="113" t="s">
        <v>234</v>
      </c>
      <c r="G16" s="34" t="s">
        <v>400</v>
      </c>
    </row>
    <row r="17" spans="1:8" ht="148.5" customHeight="1" x14ac:dyDescent="0.25">
      <c r="A17" s="36" t="s">
        <v>140</v>
      </c>
      <c r="B17" s="34" t="s">
        <v>141</v>
      </c>
      <c r="C17" s="37" t="s">
        <v>133</v>
      </c>
      <c r="D17" s="113" t="s">
        <v>234</v>
      </c>
      <c r="E17" s="118">
        <v>100</v>
      </c>
      <c r="F17" s="113" t="s">
        <v>234</v>
      </c>
      <c r="G17" s="34" t="s">
        <v>400</v>
      </c>
    </row>
    <row r="18" spans="1:8" ht="51" x14ac:dyDescent="0.25">
      <c r="A18" s="36" t="s">
        <v>142</v>
      </c>
      <c r="B18" s="34" t="s">
        <v>143</v>
      </c>
      <c r="C18" s="37" t="s">
        <v>144</v>
      </c>
      <c r="D18" s="113" t="s">
        <v>234</v>
      </c>
      <c r="E18" s="37">
        <v>62.3</v>
      </c>
      <c r="F18" s="113" t="s">
        <v>234</v>
      </c>
      <c r="G18" s="34" t="s">
        <v>400</v>
      </c>
      <c r="H18" s="99" t="s">
        <v>427</v>
      </c>
    </row>
    <row r="19" spans="1:8" ht="39.75" customHeight="1" x14ac:dyDescent="0.25">
      <c r="A19" s="36" t="s">
        <v>145</v>
      </c>
      <c r="B19" s="34" t="s">
        <v>146</v>
      </c>
      <c r="C19" s="37" t="s">
        <v>147</v>
      </c>
      <c r="D19" s="113" t="s">
        <v>234</v>
      </c>
      <c r="E19" s="228">
        <v>0.14199999999999999</v>
      </c>
      <c r="F19" s="113" t="s">
        <v>234</v>
      </c>
      <c r="G19" s="34" t="s">
        <v>400</v>
      </c>
      <c r="H19" s="99" t="s">
        <v>427</v>
      </c>
    </row>
    <row r="20" spans="1:8" ht="41.25" customHeight="1" x14ac:dyDescent="0.25">
      <c r="A20" s="41" t="s">
        <v>148</v>
      </c>
      <c r="B20" s="34" t="s">
        <v>149</v>
      </c>
      <c r="C20" s="37" t="s">
        <v>150</v>
      </c>
      <c r="D20" s="113" t="s">
        <v>234</v>
      </c>
      <c r="E20" s="37">
        <v>1.5</v>
      </c>
      <c r="F20" s="113" t="s">
        <v>234</v>
      </c>
      <c r="G20" s="34" t="s">
        <v>400</v>
      </c>
      <c r="H20" s="99" t="s">
        <v>427</v>
      </c>
    </row>
    <row r="21" spans="1:8" ht="55.5" customHeight="1" x14ac:dyDescent="0.25">
      <c r="A21" s="41" t="s">
        <v>151</v>
      </c>
      <c r="B21" s="34" t="s">
        <v>152</v>
      </c>
      <c r="C21" s="37" t="s">
        <v>153</v>
      </c>
      <c r="D21" s="113" t="s">
        <v>234</v>
      </c>
      <c r="E21" s="37">
        <v>22.3</v>
      </c>
      <c r="F21" s="113" t="s">
        <v>234</v>
      </c>
      <c r="G21" s="34" t="s">
        <v>400</v>
      </c>
      <c r="H21" s="99" t="s">
        <v>427</v>
      </c>
    </row>
    <row r="22" spans="1:8" ht="136.5" customHeight="1" x14ac:dyDescent="0.25">
      <c r="A22" s="36" t="s">
        <v>154</v>
      </c>
      <c r="B22" s="34" t="s">
        <v>155</v>
      </c>
      <c r="C22" s="37" t="s">
        <v>153</v>
      </c>
      <c r="D22" s="113" t="s">
        <v>234</v>
      </c>
      <c r="E22" s="229">
        <v>2.2000000000000002</v>
      </c>
      <c r="F22" s="113" t="s">
        <v>234</v>
      </c>
      <c r="G22" s="34" t="s">
        <v>400</v>
      </c>
      <c r="H22" s="99" t="s">
        <v>427</v>
      </c>
    </row>
    <row r="23" spans="1:8" ht="43.5" customHeight="1" x14ac:dyDescent="0.25">
      <c r="A23" s="41" t="s">
        <v>156</v>
      </c>
      <c r="B23" s="34" t="s">
        <v>157</v>
      </c>
      <c r="C23" s="37" t="s">
        <v>153</v>
      </c>
      <c r="D23" s="118">
        <v>100</v>
      </c>
      <c r="E23" s="118">
        <v>100</v>
      </c>
      <c r="F23" s="113">
        <v>100</v>
      </c>
      <c r="G23" s="39" t="s">
        <v>31</v>
      </c>
    </row>
    <row r="24" spans="1:8" ht="125.25" customHeight="1" x14ac:dyDescent="0.25">
      <c r="A24" s="41" t="s">
        <v>158</v>
      </c>
      <c r="B24" s="34" t="s">
        <v>159</v>
      </c>
      <c r="C24" s="37" t="s">
        <v>153</v>
      </c>
      <c r="D24" s="113" t="s">
        <v>234</v>
      </c>
      <c r="E24" s="37">
        <v>9.8000000000000007</v>
      </c>
      <c r="F24" s="113" t="s">
        <v>234</v>
      </c>
      <c r="G24" s="34" t="s">
        <v>451</v>
      </c>
    </row>
    <row r="25" spans="1:8" ht="15.75" customHeight="1" x14ac:dyDescent="0.25">
      <c r="A25" s="36" t="s">
        <v>160</v>
      </c>
      <c r="B25" s="366" t="s">
        <v>161</v>
      </c>
      <c r="C25" s="366"/>
      <c r="D25" s="366"/>
      <c r="E25" s="366"/>
      <c r="F25" s="366"/>
      <c r="G25" s="366"/>
    </row>
    <row r="26" spans="1:8" ht="71.25" customHeight="1" x14ac:dyDescent="0.25">
      <c r="A26" s="36" t="s">
        <v>162</v>
      </c>
      <c r="B26" s="42" t="s">
        <v>163</v>
      </c>
      <c r="C26" s="37" t="s">
        <v>133</v>
      </c>
      <c r="D26" s="118">
        <v>100</v>
      </c>
      <c r="E26" s="118">
        <v>100</v>
      </c>
      <c r="F26" s="113">
        <v>99.99</v>
      </c>
      <c r="G26" s="39" t="s">
        <v>31</v>
      </c>
    </row>
    <row r="27" spans="1:8" s="207" customFormat="1" ht="111" customHeight="1" x14ac:dyDescent="0.25">
      <c r="A27" s="36" t="s">
        <v>251</v>
      </c>
      <c r="B27" s="42" t="s">
        <v>279</v>
      </c>
      <c r="C27" s="37" t="s">
        <v>133</v>
      </c>
      <c r="D27" s="113" t="s">
        <v>234</v>
      </c>
      <c r="E27" s="118">
        <v>10</v>
      </c>
      <c r="F27" s="113" t="s">
        <v>234</v>
      </c>
      <c r="G27" s="34" t="s">
        <v>400</v>
      </c>
    </row>
    <row r="28" spans="1:8" s="207" customFormat="1" ht="107.25" customHeight="1" x14ac:dyDescent="0.25">
      <c r="A28" s="36" t="s">
        <v>252</v>
      </c>
      <c r="B28" s="42" t="s">
        <v>280</v>
      </c>
      <c r="C28" s="37" t="s">
        <v>133</v>
      </c>
      <c r="D28" s="113" t="s">
        <v>234</v>
      </c>
      <c r="E28" s="118">
        <v>25</v>
      </c>
      <c r="F28" s="113" t="s">
        <v>234</v>
      </c>
      <c r="G28" s="34" t="s">
        <v>400</v>
      </c>
    </row>
    <row r="29" spans="1:8" s="207" customFormat="1" ht="107.25" customHeight="1" x14ac:dyDescent="0.25">
      <c r="A29" s="36" t="s">
        <v>452</v>
      </c>
      <c r="B29" s="42" t="s">
        <v>450</v>
      </c>
      <c r="C29" s="37" t="s">
        <v>133</v>
      </c>
      <c r="D29" s="113" t="s">
        <v>234</v>
      </c>
      <c r="E29" s="118">
        <v>5.5</v>
      </c>
      <c r="F29" s="113" t="s">
        <v>234</v>
      </c>
      <c r="G29" s="34" t="s">
        <v>400</v>
      </c>
    </row>
    <row r="30" spans="1:8" ht="15.75" customHeight="1" x14ac:dyDescent="0.25">
      <c r="A30" s="36" t="s">
        <v>164</v>
      </c>
      <c r="B30" s="366" t="s">
        <v>165</v>
      </c>
      <c r="C30" s="366"/>
      <c r="D30" s="366"/>
      <c r="E30" s="366"/>
      <c r="F30" s="366"/>
      <c r="G30" s="366"/>
    </row>
    <row r="31" spans="1:8" ht="115.5" customHeight="1" x14ac:dyDescent="0.25">
      <c r="A31" s="36" t="s">
        <v>166</v>
      </c>
      <c r="B31" s="34" t="s">
        <v>167</v>
      </c>
      <c r="C31" s="37" t="s">
        <v>133</v>
      </c>
      <c r="D31" s="118">
        <v>100</v>
      </c>
      <c r="E31" s="118">
        <v>100</v>
      </c>
      <c r="F31" s="118">
        <v>100</v>
      </c>
      <c r="G31" s="34" t="s">
        <v>31</v>
      </c>
      <c r="H31" s="99" t="s">
        <v>426</v>
      </c>
    </row>
    <row r="32" spans="1:8" ht="42" customHeight="1" x14ac:dyDescent="0.25">
      <c r="A32" s="36" t="s">
        <v>168</v>
      </c>
      <c r="B32" s="34" t="s">
        <v>169</v>
      </c>
      <c r="C32" s="37" t="s">
        <v>30</v>
      </c>
      <c r="D32" s="38">
        <v>2809</v>
      </c>
      <c r="E32" s="38">
        <v>4100</v>
      </c>
      <c r="F32" s="38">
        <v>4393</v>
      </c>
      <c r="G32" s="34" t="s">
        <v>31</v>
      </c>
      <c r="H32" s="99" t="s">
        <v>426</v>
      </c>
    </row>
    <row r="33" spans="1:8" ht="42.75" customHeight="1" x14ac:dyDescent="0.25">
      <c r="A33" s="36" t="s">
        <v>170</v>
      </c>
      <c r="B33" s="34" t="s">
        <v>171</v>
      </c>
      <c r="C33" s="37" t="s">
        <v>172</v>
      </c>
      <c r="D33" s="38">
        <v>7776</v>
      </c>
      <c r="E33" s="38">
        <v>12600</v>
      </c>
      <c r="F33" s="38">
        <v>11893</v>
      </c>
      <c r="G33" s="34" t="s">
        <v>250</v>
      </c>
      <c r="H33" s="99" t="s">
        <v>426</v>
      </c>
    </row>
    <row r="34" spans="1:8" ht="41.25" customHeight="1" x14ac:dyDescent="0.25">
      <c r="A34" s="36" t="s">
        <v>173</v>
      </c>
      <c r="B34" s="34" t="s">
        <v>174</v>
      </c>
      <c r="C34" s="37" t="s">
        <v>30</v>
      </c>
      <c r="D34" s="38">
        <v>3790</v>
      </c>
      <c r="E34" s="38">
        <v>9722</v>
      </c>
      <c r="F34" s="38">
        <v>9130</v>
      </c>
      <c r="G34" s="34" t="s">
        <v>31</v>
      </c>
      <c r="H34" s="99" t="s">
        <v>426</v>
      </c>
    </row>
    <row r="35" spans="1:8" ht="15.75" customHeight="1" x14ac:dyDescent="0.25">
      <c r="A35" s="36" t="s">
        <v>175</v>
      </c>
      <c r="B35" s="366" t="s">
        <v>176</v>
      </c>
      <c r="C35" s="366"/>
      <c r="D35" s="366"/>
      <c r="E35" s="366"/>
      <c r="F35" s="366"/>
      <c r="G35" s="366"/>
    </row>
    <row r="36" spans="1:8" ht="225" customHeight="1" x14ac:dyDescent="0.25">
      <c r="A36" s="36" t="s">
        <v>177</v>
      </c>
      <c r="B36" s="34" t="s">
        <v>178</v>
      </c>
      <c r="C36" s="37" t="s">
        <v>133</v>
      </c>
      <c r="D36" s="113">
        <v>98.3</v>
      </c>
      <c r="E36" s="118">
        <v>94</v>
      </c>
      <c r="F36" s="113">
        <v>97.3</v>
      </c>
      <c r="G36" s="34" t="s">
        <v>31</v>
      </c>
      <c r="H36" s="99" t="s">
        <v>405</v>
      </c>
    </row>
    <row r="37" spans="1:8" s="207" customFormat="1" ht="125.25" customHeight="1" x14ac:dyDescent="0.25">
      <c r="A37" s="36" t="s">
        <v>179</v>
      </c>
      <c r="B37" s="34" t="s">
        <v>180</v>
      </c>
      <c r="C37" s="37" t="s">
        <v>239</v>
      </c>
      <c r="D37" s="113" t="s">
        <v>234</v>
      </c>
      <c r="E37" s="228">
        <v>1.7709999999999999</v>
      </c>
      <c r="F37" s="113" t="s">
        <v>234</v>
      </c>
      <c r="G37" s="34" t="s">
        <v>453</v>
      </c>
      <c r="H37" s="207" t="s">
        <v>405</v>
      </c>
    </row>
    <row r="38" spans="1:8" s="207" customFormat="1" ht="121.5" customHeight="1" x14ac:dyDescent="0.25">
      <c r="A38" s="36" t="s">
        <v>181</v>
      </c>
      <c r="B38" s="34" t="s">
        <v>182</v>
      </c>
      <c r="C38" s="272" t="s">
        <v>30</v>
      </c>
      <c r="D38" s="113" t="s">
        <v>234</v>
      </c>
      <c r="E38" s="37">
        <v>112.5</v>
      </c>
      <c r="F38" s="113" t="s">
        <v>234</v>
      </c>
      <c r="G38" s="34" t="s">
        <v>453</v>
      </c>
      <c r="H38" s="207" t="s">
        <v>405</v>
      </c>
    </row>
    <row r="39" spans="1:8" s="207" customFormat="1" ht="123.75" customHeight="1" x14ac:dyDescent="0.25">
      <c r="A39" s="36" t="s">
        <v>183</v>
      </c>
      <c r="B39" s="34" t="s">
        <v>184</v>
      </c>
      <c r="C39" s="272" t="s">
        <v>30</v>
      </c>
      <c r="D39" s="113" t="s">
        <v>234</v>
      </c>
      <c r="E39" s="37">
        <v>94.8</v>
      </c>
      <c r="F39" s="113" t="s">
        <v>234</v>
      </c>
      <c r="G39" s="34" t="s">
        <v>453</v>
      </c>
      <c r="H39" s="207" t="s">
        <v>405</v>
      </c>
    </row>
    <row r="40" spans="1:8" s="207" customFormat="1" ht="121.5" customHeight="1" x14ac:dyDescent="0.25">
      <c r="A40" s="36" t="s">
        <v>222</v>
      </c>
      <c r="B40" s="34" t="s">
        <v>225</v>
      </c>
      <c r="C40" s="37" t="s">
        <v>172</v>
      </c>
      <c r="D40" s="113" t="s">
        <v>234</v>
      </c>
      <c r="E40" s="228">
        <v>0.624</v>
      </c>
      <c r="F40" s="229" t="s">
        <v>246</v>
      </c>
      <c r="G40" s="34" t="s">
        <v>453</v>
      </c>
      <c r="H40" s="207" t="s">
        <v>405</v>
      </c>
    </row>
    <row r="41" spans="1:8" s="207" customFormat="1" ht="126.75" customHeight="1" x14ac:dyDescent="0.25">
      <c r="A41" s="36" t="s">
        <v>224</v>
      </c>
      <c r="B41" s="34" t="s">
        <v>226</v>
      </c>
      <c r="C41" s="37" t="s">
        <v>172</v>
      </c>
      <c r="D41" s="113" t="s">
        <v>234</v>
      </c>
      <c r="E41" s="228">
        <v>0.41199999999999998</v>
      </c>
      <c r="F41" s="113" t="s">
        <v>234</v>
      </c>
      <c r="G41" s="34" t="s">
        <v>453</v>
      </c>
      <c r="H41" s="207" t="s">
        <v>405</v>
      </c>
    </row>
    <row r="42" spans="1:8" s="207" customFormat="1" ht="122.25" customHeight="1" x14ac:dyDescent="0.25">
      <c r="A42" s="36" t="s">
        <v>223</v>
      </c>
      <c r="B42" s="34" t="s">
        <v>227</v>
      </c>
      <c r="C42" s="37" t="s">
        <v>172</v>
      </c>
      <c r="D42" s="113" t="s">
        <v>234</v>
      </c>
      <c r="E42" s="229">
        <v>46.09</v>
      </c>
      <c r="F42" s="113" t="s">
        <v>234</v>
      </c>
      <c r="G42" s="34" t="s">
        <v>453</v>
      </c>
      <c r="H42" s="207" t="s">
        <v>405</v>
      </c>
    </row>
    <row r="43" spans="1:8" ht="83.25" customHeight="1" x14ac:dyDescent="0.25">
      <c r="A43" s="36" t="s">
        <v>240</v>
      </c>
      <c r="B43" s="34" t="s">
        <v>241</v>
      </c>
      <c r="C43" s="37" t="s">
        <v>133</v>
      </c>
      <c r="D43" s="113" t="s">
        <v>234</v>
      </c>
      <c r="E43" s="37">
        <v>61.3</v>
      </c>
      <c r="F43" s="113" t="s">
        <v>234</v>
      </c>
      <c r="G43" s="34" t="s">
        <v>400</v>
      </c>
    </row>
    <row r="44" spans="1:8" x14ac:dyDescent="0.25">
      <c r="A44" s="367"/>
      <c r="B44" s="367"/>
      <c r="C44" s="367"/>
      <c r="D44" s="367"/>
      <c r="E44" s="367"/>
      <c r="F44" s="367"/>
      <c r="G44" s="367"/>
    </row>
    <row r="45" spans="1:8" ht="66.75" customHeight="1" x14ac:dyDescent="0.25">
      <c r="A45" s="361"/>
      <c r="B45" s="361"/>
      <c r="C45" s="361"/>
      <c r="D45" s="361"/>
      <c r="E45" s="361"/>
      <c r="F45" s="361"/>
      <c r="G45" s="361"/>
    </row>
    <row r="46" spans="1:8" x14ac:dyDescent="0.25">
      <c r="A46" s="361"/>
      <c r="B46" s="361"/>
      <c r="C46" s="361"/>
      <c r="D46" s="361"/>
      <c r="E46" s="361"/>
      <c r="F46" s="361"/>
      <c r="G46" s="361"/>
    </row>
    <row r="47" spans="1:8" ht="20.25" customHeight="1" x14ac:dyDescent="0.25">
      <c r="A47" s="365" t="s">
        <v>242</v>
      </c>
      <c r="B47" s="365"/>
      <c r="C47" s="365"/>
      <c r="D47" s="365"/>
      <c r="E47" s="227"/>
    </row>
    <row r="48" spans="1:8" ht="18.75" x14ac:dyDescent="0.3">
      <c r="A48" s="365"/>
      <c r="B48" s="365"/>
      <c r="C48" s="365"/>
      <c r="D48" s="365"/>
      <c r="E48" s="99"/>
      <c r="F48" s="362" t="s">
        <v>221</v>
      </c>
      <c r="G48" s="362"/>
    </row>
    <row r="49" spans="1:5" x14ac:dyDescent="0.25">
      <c r="A49" s="363"/>
      <c r="B49" s="363"/>
      <c r="C49" s="363"/>
      <c r="E49" s="99"/>
    </row>
    <row r="50" spans="1:5" x14ac:dyDescent="0.25">
      <c r="A50" s="363"/>
      <c r="B50" s="363"/>
      <c r="C50" s="363"/>
      <c r="E50" s="99"/>
    </row>
    <row r="51" spans="1:5" x14ac:dyDescent="0.25">
      <c r="E51" s="99"/>
    </row>
    <row r="52" spans="1:5" x14ac:dyDescent="0.25">
      <c r="A52" s="364"/>
      <c r="B52" s="364"/>
      <c r="E52" s="99"/>
    </row>
    <row r="53" spans="1:5" x14ac:dyDescent="0.25">
      <c r="E53" s="99"/>
    </row>
    <row r="54" spans="1:5" x14ac:dyDescent="0.25">
      <c r="E54" s="99"/>
    </row>
    <row r="55" spans="1:5" x14ac:dyDescent="0.25">
      <c r="E55" s="99"/>
    </row>
    <row r="56" spans="1:5" x14ac:dyDescent="0.25">
      <c r="E56" s="99"/>
    </row>
    <row r="57" spans="1:5" x14ac:dyDescent="0.25">
      <c r="E57" s="99"/>
    </row>
    <row r="58" spans="1:5" x14ac:dyDescent="0.25">
      <c r="E58" s="99"/>
    </row>
    <row r="59" spans="1:5" x14ac:dyDescent="0.25">
      <c r="E59" s="99"/>
    </row>
    <row r="60" spans="1:5" x14ac:dyDescent="0.25">
      <c r="E60" s="99"/>
    </row>
    <row r="61" spans="1:5" x14ac:dyDescent="0.25">
      <c r="E61" s="99"/>
    </row>
    <row r="62" spans="1:5" x14ac:dyDescent="0.25">
      <c r="E62" s="99"/>
    </row>
    <row r="63" spans="1:5" x14ac:dyDescent="0.25">
      <c r="E63" s="99"/>
    </row>
    <row r="64" spans="1:5" x14ac:dyDescent="0.25">
      <c r="E64" s="99"/>
    </row>
    <row r="65" spans="1:5" x14ac:dyDescent="0.25">
      <c r="E65" s="99"/>
    </row>
    <row r="66" spans="1:5" x14ac:dyDescent="0.25">
      <c r="E66" s="99"/>
    </row>
    <row r="67" spans="1:5" x14ac:dyDescent="0.25">
      <c r="E67" s="99"/>
    </row>
    <row r="68" spans="1:5" x14ac:dyDescent="0.25">
      <c r="E68" s="99"/>
    </row>
    <row r="69" spans="1:5" x14ac:dyDescent="0.25">
      <c r="A69" s="360" t="s">
        <v>243</v>
      </c>
      <c r="B69" s="360"/>
      <c r="E69" s="99"/>
    </row>
    <row r="70" spans="1:5" x14ac:dyDescent="0.25">
      <c r="A70" s="360" t="s">
        <v>244</v>
      </c>
      <c r="B70" s="360"/>
      <c r="E70" s="99"/>
    </row>
    <row r="71" spans="1:5" x14ac:dyDescent="0.25">
      <c r="E71" s="99"/>
    </row>
    <row r="72" spans="1:5" x14ac:dyDescent="0.25">
      <c r="E72" s="99"/>
    </row>
    <row r="73" spans="1:5" x14ac:dyDescent="0.25">
      <c r="E73" s="99"/>
    </row>
    <row r="74" spans="1:5" x14ac:dyDescent="0.25">
      <c r="E74" s="99"/>
    </row>
    <row r="75" spans="1:5" x14ac:dyDescent="0.25">
      <c r="E75" s="99"/>
    </row>
    <row r="76" spans="1:5" x14ac:dyDescent="0.25">
      <c r="E76" s="99"/>
    </row>
    <row r="77" spans="1:5" x14ac:dyDescent="0.25">
      <c r="E77" s="99"/>
    </row>
    <row r="78" spans="1:5" x14ac:dyDescent="0.25">
      <c r="E78" s="99"/>
    </row>
    <row r="79" spans="1:5" x14ac:dyDescent="0.25">
      <c r="E79" s="99"/>
    </row>
    <row r="80" spans="1:5" x14ac:dyDescent="0.25">
      <c r="E80" s="99"/>
    </row>
    <row r="81" spans="5:5" x14ac:dyDescent="0.25">
      <c r="E81" s="99"/>
    </row>
    <row r="82" spans="5:5" x14ac:dyDescent="0.25">
      <c r="E82" s="99"/>
    </row>
    <row r="83" spans="5:5" x14ac:dyDescent="0.25">
      <c r="E83" s="99"/>
    </row>
    <row r="84" spans="5:5" x14ac:dyDescent="0.25">
      <c r="E84" s="99"/>
    </row>
    <row r="85" spans="5:5" x14ac:dyDescent="0.25">
      <c r="E85" s="99"/>
    </row>
    <row r="86" spans="5:5" x14ac:dyDescent="0.25">
      <c r="E86" s="99"/>
    </row>
    <row r="87" spans="5:5" x14ac:dyDescent="0.25">
      <c r="E87" s="99"/>
    </row>
    <row r="88" spans="5:5" x14ac:dyDescent="0.25">
      <c r="E88" s="99"/>
    </row>
    <row r="89" spans="5:5" x14ac:dyDescent="0.25">
      <c r="E89" s="99"/>
    </row>
    <row r="90" spans="5:5" x14ac:dyDescent="0.25">
      <c r="E90" s="99"/>
    </row>
    <row r="91" spans="5:5" x14ac:dyDescent="0.25">
      <c r="E91" s="99"/>
    </row>
  </sheetData>
  <mergeCells count="21">
    <mergeCell ref="B25:G25"/>
    <mergeCell ref="B30:G30"/>
    <mergeCell ref="B35:G35"/>
    <mergeCell ref="A44:G45"/>
    <mergeCell ref="A1:G1"/>
    <mergeCell ref="A2:G2"/>
    <mergeCell ref="A3:G3"/>
    <mergeCell ref="A4:G4"/>
    <mergeCell ref="A6:A8"/>
    <mergeCell ref="B6:B8"/>
    <mergeCell ref="C6:C8"/>
    <mergeCell ref="D6:F6"/>
    <mergeCell ref="G6:G8"/>
    <mergeCell ref="E7:F7"/>
    <mergeCell ref="A69:B69"/>
    <mergeCell ref="A70:B70"/>
    <mergeCell ref="A46:G46"/>
    <mergeCell ref="F48:G48"/>
    <mergeCell ref="A49:C50"/>
    <mergeCell ref="A52:B52"/>
    <mergeCell ref="A47:D48"/>
  </mergeCells>
  <pageMargins left="0.7" right="0.7" top="0.75" bottom="0.75" header="0.3" footer="0.3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6"/>
  <sheetViews>
    <sheetView view="pageBreakPreview" topLeftCell="A13" zoomScale="40" zoomScaleNormal="100" zoomScaleSheetLayoutView="40" workbookViewId="0">
      <pane xSplit="1" topLeftCell="B1" activePane="topRight" state="frozen"/>
      <selection pane="topRight" activeCell="J13" sqref="J13"/>
    </sheetView>
  </sheetViews>
  <sheetFormatPr defaultColWidth="9.140625" defaultRowHeight="20.25" x14ac:dyDescent="0.3"/>
  <cols>
    <col min="1" max="1" width="13" style="99" customWidth="1"/>
    <col min="2" max="2" width="33.140625" style="99" customWidth="1"/>
    <col min="3" max="3" width="9.140625" style="99"/>
    <col min="4" max="4" width="35" style="99" customWidth="1"/>
    <col min="5" max="5" width="19.5703125" style="99" customWidth="1"/>
    <col min="6" max="6" width="17.28515625" style="99" customWidth="1"/>
    <col min="7" max="7" width="18.140625" style="99" customWidth="1"/>
    <col min="8" max="8" width="21" style="99" customWidth="1"/>
    <col min="9" max="9" width="23.5703125" style="99" customWidth="1"/>
    <col min="10" max="10" width="22.28515625" style="99" customWidth="1"/>
    <col min="11" max="11" width="21.7109375" style="99" customWidth="1"/>
    <col min="12" max="12" width="21.42578125" style="99" customWidth="1"/>
    <col min="13" max="13" width="22.7109375" style="99" customWidth="1"/>
    <col min="14" max="14" width="20.140625" style="99" customWidth="1"/>
    <col min="15" max="15" width="20.7109375" style="99" customWidth="1"/>
    <col min="16" max="16" width="20.28515625" style="99" customWidth="1"/>
    <col min="17" max="17" width="29" style="99" customWidth="1"/>
    <col min="18" max="18" width="26.5703125" style="238" customWidth="1"/>
    <col min="19" max="19" width="21" style="242" customWidth="1"/>
    <col min="20" max="20" width="17.140625" style="99" customWidth="1"/>
    <col min="21" max="16384" width="9.140625" style="99"/>
  </cols>
  <sheetData>
    <row r="1" spans="1:20" x14ac:dyDescent="0.3">
      <c r="A1" s="43"/>
      <c r="B1" s="44"/>
      <c r="C1" s="45"/>
      <c r="D1" s="44"/>
      <c r="E1" s="45"/>
      <c r="F1" s="45"/>
      <c r="G1" s="45"/>
      <c r="H1" s="185"/>
      <c r="I1" s="46"/>
      <c r="J1" s="439" t="s">
        <v>119</v>
      </c>
      <c r="K1" s="439"/>
      <c r="L1" s="46"/>
      <c r="M1" s="46"/>
      <c r="N1" s="46"/>
      <c r="O1" s="186"/>
      <c r="P1" s="46"/>
      <c r="Q1" s="48"/>
      <c r="R1" s="236"/>
      <c r="S1" s="239"/>
      <c r="T1" s="49"/>
    </row>
    <row r="2" spans="1:20" x14ac:dyDescent="0.3">
      <c r="A2" s="50" t="s">
        <v>185</v>
      </c>
      <c r="B2" s="50"/>
      <c r="C2" s="50"/>
      <c r="D2" s="50"/>
      <c r="E2" s="50"/>
      <c r="F2" s="50"/>
      <c r="G2" s="50"/>
      <c r="H2" s="50"/>
      <c r="I2" s="440" t="s">
        <v>186</v>
      </c>
      <c r="J2" s="440"/>
      <c r="K2" s="440"/>
      <c r="L2" s="440"/>
      <c r="M2" s="187"/>
      <c r="N2" s="50"/>
      <c r="O2" s="188"/>
      <c r="P2" s="50"/>
      <c r="Q2" s="51"/>
      <c r="R2" s="236"/>
      <c r="S2" s="239"/>
      <c r="T2" s="49"/>
    </row>
    <row r="3" spans="1:20" x14ac:dyDescent="0.3">
      <c r="A3" s="50" t="s">
        <v>187</v>
      </c>
      <c r="B3" s="50"/>
      <c r="C3" s="50"/>
      <c r="D3" s="50"/>
      <c r="E3" s="50"/>
      <c r="F3" s="50"/>
      <c r="G3" s="50"/>
      <c r="H3" s="440" t="s">
        <v>188</v>
      </c>
      <c r="I3" s="440"/>
      <c r="J3" s="440"/>
      <c r="K3" s="440"/>
      <c r="L3" s="440"/>
      <c r="M3" s="441"/>
      <c r="N3" s="50"/>
      <c r="O3" s="187"/>
      <c r="P3" s="50"/>
      <c r="Q3" s="51"/>
      <c r="R3" s="236"/>
      <c r="S3" s="240"/>
      <c r="T3" s="47"/>
    </row>
    <row r="4" spans="1:20" ht="18.75" customHeight="1" x14ac:dyDescent="0.3">
      <c r="A4" s="53" t="s">
        <v>189</v>
      </c>
      <c r="B4" s="53"/>
      <c r="C4" s="53"/>
      <c r="D4" s="53"/>
      <c r="E4" s="53"/>
      <c r="F4" s="53"/>
      <c r="G4" s="53"/>
      <c r="H4" s="53"/>
      <c r="I4" s="53"/>
      <c r="J4" s="442" t="s">
        <v>414</v>
      </c>
      <c r="K4" s="442"/>
      <c r="L4" s="53"/>
      <c r="M4" s="186"/>
      <c r="N4" s="53"/>
      <c r="O4" s="186"/>
      <c r="P4" s="53"/>
      <c r="Q4" s="54"/>
      <c r="R4" s="245"/>
      <c r="S4" s="245"/>
      <c r="T4" s="47"/>
    </row>
    <row r="5" spans="1:20" ht="20.25" customHeight="1" x14ac:dyDescent="0.25">
      <c r="A5" s="55"/>
      <c r="B5" s="56"/>
      <c r="C5" s="55"/>
      <c r="D5" s="56"/>
      <c r="E5" s="55"/>
      <c r="F5" s="55"/>
      <c r="G5" s="55"/>
      <c r="H5" s="55"/>
      <c r="I5" s="46"/>
      <c r="J5" s="46"/>
      <c r="K5" s="46"/>
      <c r="L5" s="46"/>
      <c r="M5" s="189"/>
      <c r="N5" s="46"/>
      <c r="O5" s="189"/>
      <c r="P5" s="46"/>
      <c r="Q5" s="57"/>
      <c r="R5" s="245"/>
      <c r="S5" s="245"/>
      <c r="T5" s="47"/>
    </row>
    <row r="6" spans="1:20" ht="18.75" customHeight="1" x14ac:dyDescent="0.25">
      <c r="A6" s="380" t="s">
        <v>190</v>
      </c>
      <c r="B6" s="406" t="s">
        <v>191</v>
      </c>
      <c r="C6" s="127" t="s">
        <v>192</v>
      </c>
      <c r="D6" s="443" t="s">
        <v>193</v>
      </c>
      <c r="E6" s="443" t="s">
        <v>194</v>
      </c>
      <c r="F6" s="443" t="s">
        <v>195</v>
      </c>
      <c r="G6" s="443" t="s">
        <v>196</v>
      </c>
      <c r="H6" s="427" t="s">
        <v>197</v>
      </c>
      <c r="I6" s="428" t="s">
        <v>198</v>
      </c>
      <c r="J6" s="428"/>
      <c r="K6" s="428"/>
      <c r="L6" s="428"/>
      <c r="M6" s="429"/>
      <c r="N6" s="428"/>
      <c r="O6" s="429"/>
      <c r="P6" s="428"/>
      <c r="Q6" s="406" t="s">
        <v>199</v>
      </c>
      <c r="R6" s="245"/>
      <c r="S6" s="245"/>
      <c r="T6" s="60"/>
    </row>
    <row r="7" spans="1:20" ht="20.25" customHeight="1" x14ac:dyDescent="0.25">
      <c r="A7" s="381"/>
      <c r="B7" s="424"/>
      <c r="C7" s="128"/>
      <c r="D7" s="444"/>
      <c r="E7" s="444"/>
      <c r="F7" s="444"/>
      <c r="G7" s="444"/>
      <c r="H7" s="427"/>
      <c r="I7" s="425" t="s">
        <v>200</v>
      </c>
      <c r="J7" s="425"/>
      <c r="K7" s="426" t="s">
        <v>201</v>
      </c>
      <c r="L7" s="426"/>
      <c r="M7" s="425" t="s">
        <v>202</v>
      </c>
      <c r="N7" s="425"/>
      <c r="O7" s="425" t="s">
        <v>203</v>
      </c>
      <c r="P7" s="425"/>
      <c r="Q7" s="424"/>
      <c r="R7" s="246"/>
      <c r="S7" s="246"/>
      <c r="T7" s="47"/>
    </row>
    <row r="8" spans="1:20" ht="141.75" customHeight="1" x14ac:dyDescent="0.25">
      <c r="A8" s="382"/>
      <c r="B8" s="407"/>
      <c r="C8" s="129"/>
      <c r="D8" s="445"/>
      <c r="E8" s="445"/>
      <c r="F8" s="445"/>
      <c r="G8" s="445"/>
      <c r="H8" s="427"/>
      <c r="I8" s="61" t="s">
        <v>127</v>
      </c>
      <c r="J8" s="61" t="s">
        <v>126</v>
      </c>
      <c r="K8" s="61" t="s">
        <v>127</v>
      </c>
      <c r="L8" s="61" t="s">
        <v>126</v>
      </c>
      <c r="M8" s="179" t="s">
        <v>127</v>
      </c>
      <c r="N8" s="61" t="s">
        <v>126</v>
      </c>
      <c r="O8" s="179" t="s">
        <v>127</v>
      </c>
      <c r="P8" s="61" t="s">
        <v>126</v>
      </c>
      <c r="Q8" s="407"/>
      <c r="R8" s="243" t="s">
        <v>428</v>
      </c>
      <c r="S8" s="244" t="s">
        <v>429</v>
      </c>
      <c r="T8" s="47"/>
    </row>
    <row r="9" spans="1:20" x14ac:dyDescent="0.25">
      <c r="A9" s="62">
        <v>1</v>
      </c>
      <c r="B9" s="63">
        <v>2</v>
      </c>
      <c r="C9" s="63">
        <v>3</v>
      </c>
      <c r="D9" s="63">
        <v>4</v>
      </c>
      <c r="E9" s="63">
        <v>5</v>
      </c>
      <c r="F9" s="63">
        <v>6</v>
      </c>
      <c r="G9" s="63">
        <v>7</v>
      </c>
      <c r="H9" s="63">
        <v>8</v>
      </c>
      <c r="I9" s="64">
        <v>9</v>
      </c>
      <c r="J9" s="64">
        <v>10</v>
      </c>
      <c r="K9" s="64">
        <v>11</v>
      </c>
      <c r="L9" s="64">
        <v>12</v>
      </c>
      <c r="M9" s="172">
        <v>13</v>
      </c>
      <c r="N9" s="64">
        <v>14</v>
      </c>
      <c r="O9" s="172">
        <v>15</v>
      </c>
      <c r="P9" s="64">
        <v>16</v>
      </c>
      <c r="Q9" s="63">
        <v>17</v>
      </c>
      <c r="R9" s="243"/>
      <c r="S9" s="244"/>
      <c r="T9" s="60"/>
    </row>
    <row r="10" spans="1:20" ht="68.25" customHeight="1" x14ac:dyDescent="0.25">
      <c r="A10" s="115" t="s">
        <v>73</v>
      </c>
      <c r="B10" s="142" t="s">
        <v>204</v>
      </c>
      <c r="C10" s="116"/>
      <c r="D10" s="142" t="s">
        <v>27</v>
      </c>
      <c r="E10" s="195" t="s">
        <v>384</v>
      </c>
      <c r="F10" s="135" t="s">
        <v>249</v>
      </c>
      <c r="G10" s="195" t="s">
        <v>384</v>
      </c>
      <c r="H10" s="135"/>
      <c r="I10" s="114">
        <f>I11</f>
        <v>281136.2</v>
      </c>
      <c r="J10" s="114">
        <f>J11</f>
        <v>566133.9</v>
      </c>
      <c r="K10" s="114">
        <f t="shared" ref="K10:P10" si="0">K11</f>
        <v>397008.9</v>
      </c>
      <c r="L10" s="114">
        <f t="shared" si="0"/>
        <v>124357.09999999998</v>
      </c>
      <c r="M10" s="69">
        <f t="shared" si="0"/>
        <v>97529.1</v>
      </c>
      <c r="N10" s="114">
        <f t="shared" si="0"/>
        <v>113772</v>
      </c>
      <c r="O10" s="69">
        <f t="shared" si="0"/>
        <v>206788.6</v>
      </c>
      <c r="P10" s="114">
        <f t="shared" si="0"/>
        <v>0</v>
      </c>
      <c r="Q10" s="116" t="s">
        <v>24</v>
      </c>
      <c r="R10" s="243">
        <f t="shared" ref="R10:R73" si="1">I10+K10+M10+O10</f>
        <v>982462.8</v>
      </c>
      <c r="S10" s="243">
        <f t="shared" ref="S10:S12" si="2">P10+N10+L10+J10</f>
        <v>804263</v>
      </c>
      <c r="T10" s="47"/>
    </row>
    <row r="11" spans="1:20" ht="245.25" customHeight="1" x14ac:dyDescent="0.25">
      <c r="A11" s="115" t="s">
        <v>26</v>
      </c>
      <c r="B11" s="142" t="s">
        <v>373</v>
      </c>
      <c r="C11" s="67"/>
      <c r="D11" s="142" t="s">
        <v>385</v>
      </c>
      <c r="E11" s="135" t="s">
        <v>384</v>
      </c>
      <c r="F11" s="135" t="s">
        <v>249</v>
      </c>
      <c r="G11" s="195" t="s">
        <v>384</v>
      </c>
      <c r="H11" s="135"/>
      <c r="I11" s="165">
        <v>281136.2</v>
      </c>
      <c r="J11" s="165">
        <v>566133.9</v>
      </c>
      <c r="K11" s="172">
        <v>397008.9</v>
      </c>
      <c r="L11" s="179">
        <f>690491-J11</f>
        <v>124357.09999999998</v>
      </c>
      <c r="M11" s="172">
        <v>97529.1</v>
      </c>
      <c r="N11" s="257">
        <f>804263-L11-J11</f>
        <v>113772</v>
      </c>
      <c r="O11" s="172">
        <v>206788.6</v>
      </c>
      <c r="P11" s="172"/>
      <c r="Q11" s="142"/>
      <c r="R11" s="243">
        <f t="shared" si="1"/>
        <v>982462.8</v>
      </c>
      <c r="S11" s="243">
        <f t="shared" si="2"/>
        <v>804263</v>
      </c>
      <c r="T11" s="47"/>
    </row>
    <row r="12" spans="1:20" ht="53.25" customHeight="1" x14ac:dyDescent="0.25">
      <c r="A12" s="68" t="s">
        <v>28</v>
      </c>
      <c r="B12" s="430" t="s">
        <v>205</v>
      </c>
      <c r="C12" s="431"/>
      <c r="D12" s="431"/>
      <c r="E12" s="431"/>
      <c r="F12" s="431"/>
      <c r="G12" s="431"/>
      <c r="H12" s="432"/>
      <c r="I12" s="69">
        <f t="shared" ref="I12:P12" si="3">I13+I15+I16+I17+I19+I20+I21+I24+I27+I29+I30+I31+I32+I34+I36+I37+I40+I41+I42+I44+I48+I49+I50+I54+I56+I26+I61+I63+I14+I18+I22+I46+I65+I67</f>
        <v>4367759.3000000017</v>
      </c>
      <c r="J12" s="69">
        <f t="shared" si="3"/>
        <v>4539039.0000000009</v>
      </c>
      <c r="K12" s="69">
        <f>K13+K15+K16+K17+K19+K20+K21+K24+K27+K29+K30+K31+K32+K34+K36+K37+K40+K41+K42+K44+K48+K49+K50+K54+K56+K26+K61+K63+K14+K18+K22+K46+K65+K67+0.1</f>
        <v>3590797.9999999995</v>
      </c>
      <c r="L12" s="69">
        <f t="shared" si="3"/>
        <v>3669382.5999999996</v>
      </c>
      <c r="M12" s="114">
        <f>M13+M15+M16+M17+M19+M20+M21+M24+M27+M29+M30+M31+M32+M34+M36+M37+M40+M41+M42+M44+M48+M49+M50+M54+M56+M26+M61+M63+M14+M18+M22+M46+M65+M67+M38+M39</f>
        <v>2959883.7000000007</v>
      </c>
      <c r="N12" s="199">
        <f t="shared" ref="N12" si="4">N13+N15+N16+N17+N19+N20+N21+N24+N27+N29+N30+N31+N32+N34+N36+N37+N40+N41+N42+N44+N48+N49+N50+N54+N56+N26+N61+N63+N14+N18+N22+N46+N65+N67+N38+N39</f>
        <v>3159574.8000000007</v>
      </c>
      <c r="O12" s="114">
        <f>O13+O15+O16+O17+O19+O20+O21+O24+O27+O29+O30+O31+O32+O34+O36+O37+O40+O41+O42+O44+O48+O49+O50+O54+O56+O26+O61+O63+O14+O18+O22+O46+O65+O67+O38+O39-0.1</f>
        <v>6291106.1999999993</v>
      </c>
      <c r="P12" s="69">
        <f t="shared" si="3"/>
        <v>0</v>
      </c>
      <c r="Q12" s="217"/>
      <c r="R12" s="243">
        <f t="shared" si="1"/>
        <v>17209547.200000003</v>
      </c>
      <c r="S12" s="243">
        <f t="shared" si="2"/>
        <v>11367996.400000002</v>
      </c>
      <c r="T12" s="70"/>
    </row>
    <row r="13" spans="1:20" ht="181.5" customHeight="1" x14ac:dyDescent="0.25">
      <c r="A13" s="115" t="s">
        <v>26</v>
      </c>
      <c r="B13" s="142" t="s">
        <v>283</v>
      </c>
      <c r="C13" s="116"/>
      <c r="D13" s="194" t="s">
        <v>388</v>
      </c>
      <c r="E13" s="195" t="s">
        <v>384</v>
      </c>
      <c r="F13" s="135" t="s">
        <v>249</v>
      </c>
      <c r="G13" s="195" t="s">
        <v>384</v>
      </c>
      <c r="H13" s="135"/>
      <c r="I13" s="165">
        <v>103354.1</v>
      </c>
      <c r="J13" s="165">
        <v>103354.1</v>
      </c>
      <c r="K13" s="172">
        <v>108146.1</v>
      </c>
      <c r="L13" s="179">
        <f>211721.5-J13</f>
        <v>108367.4</v>
      </c>
      <c r="M13" s="172">
        <v>110035.5</v>
      </c>
      <c r="N13" s="257">
        <f>321845.1-L13-J13</f>
        <v>110123.59999999998</v>
      </c>
      <c r="O13" s="172">
        <v>74979.899999999994</v>
      </c>
      <c r="P13" s="172"/>
      <c r="Q13" s="142"/>
      <c r="R13" s="243">
        <f t="shared" si="1"/>
        <v>396515.6</v>
      </c>
      <c r="S13" s="243">
        <f>P13+N13+L13+J13</f>
        <v>321845.09999999998</v>
      </c>
      <c r="T13" s="47"/>
    </row>
    <row r="14" spans="1:20" ht="219" customHeight="1" x14ac:dyDescent="0.25">
      <c r="A14" s="115" t="s">
        <v>32</v>
      </c>
      <c r="B14" s="142" t="s">
        <v>372</v>
      </c>
      <c r="C14" s="116"/>
      <c r="D14" s="203" t="s">
        <v>388</v>
      </c>
      <c r="E14" s="195" t="s">
        <v>384</v>
      </c>
      <c r="F14" s="135" t="s">
        <v>249</v>
      </c>
      <c r="G14" s="195" t="s">
        <v>384</v>
      </c>
      <c r="H14" s="135"/>
      <c r="I14" s="165">
        <v>925.9</v>
      </c>
      <c r="J14" s="165">
        <v>925.9</v>
      </c>
      <c r="K14" s="172">
        <v>898.6</v>
      </c>
      <c r="L14" s="179">
        <f>1816.3-J14</f>
        <v>890.4</v>
      </c>
      <c r="M14" s="172">
        <v>836.6</v>
      </c>
      <c r="N14" s="257">
        <f>2661.4-L14-J14</f>
        <v>845.1</v>
      </c>
      <c r="O14" s="172">
        <v>2249.1</v>
      </c>
      <c r="P14" s="172"/>
      <c r="Q14" s="142"/>
      <c r="R14" s="243">
        <f t="shared" si="1"/>
        <v>4910.2</v>
      </c>
      <c r="S14" s="243">
        <f t="shared" ref="S14:S77" si="5">P14+N14+L14+J14</f>
        <v>2661.4</v>
      </c>
      <c r="T14" s="47"/>
    </row>
    <row r="15" spans="1:20" ht="177.75" customHeight="1" x14ac:dyDescent="0.25">
      <c r="A15" s="115" t="s">
        <v>33</v>
      </c>
      <c r="B15" s="198" t="s">
        <v>285</v>
      </c>
      <c r="C15" s="116"/>
      <c r="D15" s="203" t="s">
        <v>388</v>
      </c>
      <c r="E15" s="117" t="s">
        <v>384</v>
      </c>
      <c r="F15" s="117" t="s">
        <v>249</v>
      </c>
      <c r="G15" s="117" t="s">
        <v>384</v>
      </c>
      <c r="H15" s="117"/>
      <c r="I15" s="196">
        <v>5829.1</v>
      </c>
      <c r="J15" s="196">
        <v>5829.1</v>
      </c>
      <c r="K15" s="196">
        <v>6085.8</v>
      </c>
      <c r="L15" s="196">
        <f>11917.3-J15</f>
        <v>6088.1999999999989</v>
      </c>
      <c r="M15" s="196">
        <v>6155.6</v>
      </c>
      <c r="N15" s="257">
        <f>18072.8-L15-J15</f>
        <v>6155.5</v>
      </c>
      <c r="O15" s="196">
        <v>6312.7</v>
      </c>
      <c r="P15" s="196"/>
      <c r="Q15" s="198"/>
      <c r="R15" s="243">
        <f t="shared" si="1"/>
        <v>24383.200000000001</v>
      </c>
      <c r="S15" s="243">
        <f t="shared" si="5"/>
        <v>18072.8</v>
      </c>
      <c r="T15" s="47"/>
    </row>
    <row r="16" spans="1:20" ht="273" customHeight="1" x14ac:dyDescent="0.25">
      <c r="A16" s="115" t="s">
        <v>34</v>
      </c>
      <c r="B16" s="198" t="s">
        <v>286</v>
      </c>
      <c r="C16" s="116"/>
      <c r="D16" s="203" t="s">
        <v>388</v>
      </c>
      <c r="E16" s="117" t="s">
        <v>384</v>
      </c>
      <c r="F16" s="117" t="s">
        <v>249</v>
      </c>
      <c r="G16" s="117" t="s">
        <v>384</v>
      </c>
      <c r="H16" s="197"/>
      <c r="I16" s="196">
        <v>13</v>
      </c>
      <c r="J16" s="196">
        <v>13</v>
      </c>
      <c r="K16" s="196">
        <v>18586.5</v>
      </c>
      <c r="L16" s="196">
        <f>18760.3-J16</f>
        <v>18747.3</v>
      </c>
      <c r="M16" s="196">
        <v>350.4</v>
      </c>
      <c r="N16" s="257">
        <f>18963.4-L16-J16</f>
        <v>203.10000000000218</v>
      </c>
      <c r="O16" s="196">
        <v>87.3</v>
      </c>
      <c r="P16" s="196"/>
      <c r="Q16" s="198"/>
      <c r="R16" s="243">
        <f t="shared" si="1"/>
        <v>19037.2</v>
      </c>
      <c r="S16" s="243">
        <f t="shared" si="5"/>
        <v>18963.400000000001</v>
      </c>
      <c r="T16" s="47"/>
    </row>
    <row r="17" spans="1:20" ht="179.25" customHeight="1" x14ac:dyDescent="0.25">
      <c r="A17" s="115" t="s">
        <v>35</v>
      </c>
      <c r="B17" s="142" t="s">
        <v>371</v>
      </c>
      <c r="C17" s="116"/>
      <c r="D17" s="194" t="s">
        <v>388</v>
      </c>
      <c r="E17" s="195" t="s">
        <v>384</v>
      </c>
      <c r="F17" s="135" t="s">
        <v>249</v>
      </c>
      <c r="G17" s="195" t="s">
        <v>384</v>
      </c>
      <c r="H17" s="135"/>
      <c r="I17" s="165">
        <v>44502.2</v>
      </c>
      <c r="J17" s="165">
        <v>44501.5</v>
      </c>
      <c r="K17" s="172">
        <v>30539.3</v>
      </c>
      <c r="L17" s="179">
        <f>76398.8-J17</f>
        <v>31897.300000000003</v>
      </c>
      <c r="M17" s="172">
        <v>35241.4</v>
      </c>
      <c r="N17" s="257">
        <f>114458.5-L17-J17</f>
        <v>38059.699999999997</v>
      </c>
      <c r="O17" s="172">
        <v>44380.9</v>
      </c>
      <c r="P17" s="172"/>
      <c r="Q17" s="142"/>
      <c r="R17" s="243">
        <f t="shared" si="1"/>
        <v>154663.79999999999</v>
      </c>
      <c r="S17" s="243">
        <f t="shared" si="5"/>
        <v>114458.5</v>
      </c>
      <c r="T17" s="47"/>
    </row>
    <row r="18" spans="1:20" ht="178.5" customHeight="1" x14ac:dyDescent="0.25">
      <c r="A18" s="115" t="s">
        <v>36</v>
      </c>
      <c r="B18" s="142" t="s">
        <v>288</v>
      </c>
      <c r="C18" s="116"/>
      <c r="D18" s="194" t="s">
        <v>388</v>
      </c>
      <c r="E18" s="195" t="s">
        <v>384</v>
      </c>
      <c r="F18" s="135" t="s">
        <v>249</v>
      </c>
      <c r="G18" s="195" t="s">
        <v>384</v>
      </c>
      <c r="H18" s="135"/>
      <c r="I18" s="165">
        <v>31.4</v>
      </c>
      <c r="J18" s="165">
        <v>31.4</v>
      </c>
      <c r="K18" s="172">
        <v>32.799999999999997</v>
      </c>
      <c r="L18" s="179">
        <f>68.5-J18</f>
        <v>37.1</v>
      </c>
      <c r="M18" s="172">
        <v>29.9</v>
      </c>
      <c r="N18" s="257">
        <f>104.1-L18-J18</f>
        <v>35.6</v>
      </c>
      <c r="O18" s="172">
        <v>117.2</v>
      </c>
      <c r="P18" s="172"/>
      <c r="Q18" s="142"/>
      <c r="R18" s="243">
        <f t="shared" si="1"/>
        <v>211.3</v>
      </c>
      <c r="S18" s="243">
        <f t="shared" si="5"/>
        <v>104.1</v>
      </c>
      <c r="T18" s="47"/>
    </row>
    <row r="19" spans="1:20" ht="376.5" customHeight="1" x14ac:dyDescent="0.25">
      <c r="A19" s="115" t="s">
        <v>37</v>
      </c>
      <c r="B19" s="142" t="s">
        <v>370</v>
      </c>
      <c r="C19" s="116"/>
      <c r="D19" s="142" t="s">
        <v>416</v>
      </c>
      <c r="E19" s="195" t="s">
        <v>384</v>
      </c>
      <c r="F19" s="133">
        <v>44561</v>
      </c>
      <c r="G19" s="195" t="s">
        <v>384</v>
      </c>
      <c r="H19" s="135"/>
      <c r="I19" s="165">
        <v>597711.69999999995</v>
      </c>
      <c r="J19" s="165">
        <v>640389</v>
      </c>
      <c r="K19" s="172">
        <v>671219.4</v>
      </c>
      <c r="L19" s="179">
        <f>1319585.5-J19</f>
        <v>679196.5</v>
      </c>
      <c r="M19" s="172">
        <v>655204.4</v>
      </c>
      <c r="N19" s="257">
        <f>1984535.1-L19-J19</f>
        <v>664949.60000000009</v>
      </c>
      <c r="O19" s="172">
        <v>740596.7</v>
      </c>
      <c r="P19" s="172"/>
      <c r="Q19" s="142"/>
      <c r="R19" s="243">
        <f t="shared" si="1"/>
        <v>2664732.2000000002</v>
      </c>
      <c r="S19" s="243">
        <f t="shared" si="5"/>
        <v>1984535.1</v>
      </c>
      <c r="T19" s="47"/>
    </row>
    <row r="20" spans="1:20" ht="283.5" customHeight="1" x14ac:dyDescent="0.25">
      <c r="A20" s="115" t="s">
        <v>39</v>
      </c>
      <c r="B20" s="198" t="s">
        <v>290</v>
      </c>
      <c r="C20" s="116"/>
      <c r="D20" s="198" t="s">
        <v>386</v>
      </c>
      <c r="E20" s="117" t="s">
        <v>384</v>
      </c>
      <c r="F20" s="117" t="s">
        <v>249</v>
      </c>
      <c r="G20" s="117" t="s">
        <v>384</v>
      </c>
      <c r="H20" s="117"/>
      <c r="I20" s="196">
        <v>675397.5</v>
      </c>
      <c r="J20" s="196">
        <v>679673.2</v>
      </c>
      <c r="K20" s="196">
        <v>331841.40000000002</v>
      </c>
      <c r="L20" s="196">
        <f>1011897.9-J20</f>
        <v>332224.70000000007</v>
      </c>
      <c r="M20" s="196">
        <v>144600.20000000001</v>
      </c>
      <c r="N20" s="257">
        <f>1161930.6-L20-J20</f>
        <v>150032.70000000007</v>
      </c>
      <c r="O20" s="196">
        <v>357775.6</v>
      </c>
      <c r="P20" s="196"/>
      <c r="Q20" s="142"/>
      <c r="R20" s="243">
        <f t="shared" si="1"/>
        <v>1509614.7000000002</v>
      </c>
      <c r="S20" s="243">
        <f t="shared" si="5"/>
        <v>1161930.6000000001</v>
      </c>
      <c r="T20" s="47"/>
    </row>
    <row r="21" spans="1:20" ht="409.5" x14ac:dyDescent="0.25">
      <c r="A21" s="115" t="s">
        <v>41</v>
      </c>
      <c r="B21" s="198" t="s">
        <v>369</v>
      </c>
      <c r="C21" s="116"/>
      <c r="D21" s="198" t="s">
        <v>386</v>
      </c>
      <c r="E21" s="117" t="s">
        <v>384</v>
      </c>
      <c r="F21" s="117" t="s">
        <v>249</v>
      </c>
      <c r="G21" s="117" t="s">
        <v>384</v>
      </c>
      <c r="H21" s="117"/>
      <c r="I21" s="196">
        <v>996450</v>
      </c>
      <c r="J21" s="196">
        <v>1051194</v>
      </c>
      <c r="K21" s="196">
        <v>858509</v>
      </c>
      <c r="L21" s="196">
        <f>1896742.2-J21</f>
        <v>845548.2</v>
      </c>
      <c r="M21" s="196">
        <v>470498.3</v>
      </c>
      <c r="N21" s="257">
        <f>2392711.3-L21-J21</f>
        <v>495969.09999999986</v>
      </c>
      <c r="O21" s="196">
        <v>1466892.9</v>
      </c>
      <c r="P21" s="196"/>
      <c r="Q21" s="198"/>
      <c r="R21" s="243">
        <f t="shared" si="1"/>
        <v>3792350.1999999997</v>
      </c>
      <c r="S21" s="243">
        <f t="shared" si="5"/>
        <v>2392711.2999999998</v>
      </c>
      <c r="T21" s="60"/>
    </row>
    <row r="22" spans="1:20" ht="18.75" customHeight="1" x14ac:dyDescent="0.25">
      <c r="A22" s="433" t="s">
        <v>42</v>
      </c>
      <c r="B22" s="375" t="s">
        <v>292</v>
      </c>
      <c r="C22" s="406"/>
      <c r="D22" s="375" t="s">
        <v>433</v>
      </c>
      <c r="E22" s="377" t="s">
        <v>384</v>
      </c>
      <c r="F22" s="412" t="s">
        <v>249</v>
      </c>
      <c r="G22" s="377" t="s">
        <v>384</v>
      </c>
      <c r="H22" s="412"/>
      <c r="I22" s="373">
        <v>5491.2</v>
      </c>
      <c r="J22" s="373">
        <v>5779.7</v>
      </c>
      <c r="K22" s="373">
        <v>5497.5</v>
      </c>
      <c r="L22" s="373">
        <f>11841.5-J22</f>
        <v>6061.8</v>
      </c>
      <c r="M22" s="372">
        <v>6303.7</v>
      </c>
      <c r="N22" s="373">
        <f>18008.8-L22-J22</f>
        <v>6167.3</v>
      </c>
      <c r="O22" s="372">
        <v>4530.3</v>
      </c>
      <c r="P22" s="373"/>
      <c r="Q22" s="375"/>
      <c r="R22" s="446">
        <f t="shared" si="1"/>
        <v>21822.7</v>
      </c>
      <c r="S22" s="446">
        <f t="shared" si="5"/>
        <v>18008.8</v>
      </c>
      <c r="T22" s="47"/>
    </row>
    <row r="23" spans="1:20" ht="215.25" customHeight="1" x14ac:dyDescent="0.25">
      <c r="A23" s="434"/>
      <c r="B23" s="376"/>
      <c r="C23" s="407"/>
      <c r="D23" s="376"/>
      <c r="E23" s="379"/>
      <c r="F23" s="413"/>
      <c r="G23" s="379"/>
      <c r="H23" s="413"/>
      <c r="I23" s="374"/>
      <c r="J23" s="374"/>
      <c r="K23" s="374"/>
      <c r="L23" s="374"/>
      <c r="M23" s="372"/>
      <c r="N23" s="374"/>
      <c r="O23" s="372"/>
      <c r="P23" s="374"/>
      <c r="Q23" s="376"/>
      <c r="R23" s="447"/>
      <c r="S23" s="447"/>
      <c r="T23" s="47"/>
    </row>
    <row r="24" spans="1:20" ht="357" customHeight="1" x14ac:dyDescent="0.25">
      <c r="A24" s="73" t="s">
        <v>43</v>
      </c>
      <c r="B24" s="142" t="s">
        <v>293</v>
      </c>
      <c r="C24" s="116"/>
      <c r="D24" s="194" t="s">
        <v>433</v>
      </c>
      <c r="E24" s="204" t="s">
        <v>384</v>
      </c>
      <c r="F24" s="72" t="s">
        <v>249</v>
      </c>
      <c r="G24" s="213" t="s">
        <v>384</v>
      </c>
      <c r="H24" s="72"/>
      <c r="I24" s="165">
        <v>1080884.5</v>
      </c>
      <c r="J24" s="165">
        <v>1148429</v>
      </c>
      <c r="K24" s="172">
        <v>884701.3</v>
      </c>
      <c r="L24" s="179">
        <f>2007078.9-J24</f>
        <v>858649.89999999991</v>
      </c>
      <c r="M24" s="196">
        <v>616175.19999999995</v>
      </c>
      <c r="N24" s="257">
        <f>2658172.8-L24-J24</f>
        <v>651093.89999999991</v>
      </c>
      <c r="O24" s="196">
        <v>1601529.1</v>
      </c>
      <c r="P24" s="172"/>
      <c r="Q24" s="142"/>
      <c r="R24" s="243">
        <f t="shared" si="1"/>
        <v>4183290.1</v>
      </c>
      <c r="S24" s="243">
        <f t="shared" si="5"/>
        <v>2658172.7999999998</v>
      </c>
      <c r="T24" s="47"/>
    </row>
    <row r="25" spans="1:20" ht="42" customHeight="1" x14ac:dyDescent="0.25">
      <c r="A25" s="115" t="s">
        <v>44</v>
      </c>
      <c r="B25" s="71" t="s">
        <v>206</v>
      </c>
      <c r="C25" s="67"/>
      <c r="D25" s="142"/>
      <c r="E25" s="202"/>
      <c r="F25" s="212"/>
      <c r="G25" s="213"/>
      <c r="H25" s="72"/>
      <c r="I25" s="165"/>
      <c r="J25" s="165"/>
      <c r="K25" s="172"/>
      <c r="L25" s="179"/>
      <c r="M25" s="196"/>
      <c r="N25" s="257"/>
      <c r="O25" s="196"/>
      <c r="P25" s="172"/>
      <c r="Q25" s="142"/>
      <c r="R25" s="243">
        <f t="shared" si="1"/>
        <v>0</v>
      </c>
      <c r="S25" s="243">
        <f t="shared" si="5"/>
        <v>0</v>
      </c>
      <c r="T25" s="47"/>
    </row>
    <row r="26" spans="1:20" ht="349.5" customHeight="1" x14ac:dyDescent="0.25">
      <c r="A26" s="115" t="s">
        <v>91</v>
      </c>
      <c r="B26" s="198" t="s">
        <v>368</v>
      </c>
      <c r="C26" s="67"/>
      <c r="D26" s="198" t="s">
        <v>386</v>
      </c>
      <c r="E26" s="197" t="s">
        <v>384</v>
      </c>
      <c r="F26" s="197">
        <v>44561</v>
      </c>
      <c r="G26" s="197" t="s">
        <v>384</v>
      </c>
      <c r="H26" s="117"/>
      <c r="I26" s="196">
        <v>0</v>
      </c>
      <c r="J26" s="196">
        <v>0</v>
      </c>
      <c r="K26" s="196">
        <v>0</v>
      </c>
      <c r="L26" s="196">
        <v>0</v>
      </c>
      <c r="M26" s="196">
        <v>0</v>
      </c>
      <c r="N26" s="257">
        <v>0</v>
      </c>
      <c r="O26" s="196">
        <v>50</v>
      </c>
      <c r="P26" s="196"/>
      <c r="Q26" s="198"/>
      <c r="R26" s="243">
        <f t="shared" si="1"/>
        <v>50</v>
      </c>
      <c r="S26" s="243">
        <f t="shared" si="5"/>
        <v>0</v>
      </c>
      <c r="T26" s="47"/>
    </row>
    <row r="27" spans="1:20" ht="141.75" customHeight="1" x14ac:dyDescent="0.25">
      <c r="A27" s="380" t="s">
        <v>45</v>
      </c>
      <c r="B27" s="375" t="s">
        <v>295</v>
      </c>
      <c r="C27" s="406"/>
      <c r="D27" s="375" t="s">
        <v>388</v>
      </c>
      <c r="E27" s="412" t="s">
        <v>384</v>
      </c>
      <c r="F27" s="412" t="s">
        <v>249</v>
      </c>
      <c r="G27" s="412" t="s">
        <v>384</v>
      </c>
      <c r="H27" s="412"/>
      <c r="I27" s="373">
        <v>1311.8</v>
      </c>
      <c r="J27" s="373">
        <v>1312.4</v>
      </c>
      <c r="K27" s="373">
        <v>1288.5</v>
      </c>
      <c r="L27" s="373">
        <f>2606.3-J27</f>
        <v>1293.9000000000001</v>
      </c>
      <c r="M27" s="373">
        <v>1294.5</v>
      </c>
      <c r="N27" s="373">
        <f>3906.2-L27-J27</f>
        <v>1299.8999999999996</v>
      </c>
      <c r="O27" s="373">
        <v>1822</v>
      </c>
      <c r="P27" s="373"/>
      <c r="Q27" s="375"/>
      <c r="R27" s="446">
        <f t="shared" si="1"/>
        <v>5716.8</v>
      </c>
      <c r="S27" s="446">
        <f t="shared" si="5"/>
        <v>3906.2</v>
      </c>
      <c r="T27" s="47"/>
    </row>
    <row r="28" spans="1:20" ht="363.75" customHeight="1" x14ac:dyDescent="0.25">
      <c r="A28" s="382"/>
      <c r="B28" s="376"/>
      <c r="C28" s="407"/>
      <c r="D28" s="376"/>
      <c r="E28" s="413"/>
      <c r="F28" s="413"/>
      <c r="G28" s="413"/>
      <c r="H28" s="413"/>
      <c r="I28" s="374"/>
      <c r="J28" s="374"/>
      <c r="K28" s="374"/>
      <c r="L28" s="374"/>
      <c r="M28" s="372"/>
      <c r="N28" s="374"/>
      <c r="O28" s="372"/>
      <c r="P28" s="374"/>
      <c r="Q28" s="376"/>
      <c r="R28" s="447"/>
      <c r="S28" s="447"/>
      <c r="T28" s="47"/>
    </row>
    <row r="29" spans="1:20" ht="409.5" x14ac:dyDescent="0.25">
      <c r="A29" s="119" t="s">
        <v>46</v>
      </c>
      <c r="B29" s="131" t="s">
        <v>296</v>
      </c>
      <c r="C29" s="74"/>
      <c r="D29" s="190" t="s">
        <v>388</v>
      </c>
      <c r="E29" s="193" t="s">
        <v>384</v>
      </c>
      <c r="F29" s="135" t="s">
        <v>249</v>
      </c>
      <c r="G29" s="193" t="s">
        <v>384</v>
      </c>
      <c r="H29" s="135"/>
      <c r="I29" s="162">
        <v>2775.2</v>
      </c>
      <c r="J29" s="162">
        <v>2773.1</v>
      </c>
      <c r="K29" s="169">
        <v>2720.3</v>
      </c>
      <c r="L29" s="180">
        <f>5513.3-J29</f>
        <v>2740.2000000000003</v>
      </c>
      <c r="M29" s="172">
        <v>2664.6</v>
      </c>
      <c r="N29" s="75">
        <f>8208.5-L29-J29</f>
        <v>2695.1999999999994</v>
      </c>
      <c r="O29" s="172">
        <v>4364.3999999999996</v>
      </c>
      <c r="P29" s="169"/>
      <c r="Q29" s="131"/>
      <c r="R29" s="243">
        <f t="shared" si="1"/>
        <v>12524.5</v>
      </c>
      <c r="S29" s="243">
        <f t="shared" si="5"/>
        <v>8208.5</v>
      </c>
      <c r="T29" s="76"/>
    </row>
    <row r="30" spans="1:20" ht="168.75" x14ac:dyDescent="0.25">
      <c r="A30" s="115" t="s">
        <v>47</v>
      </c>
      <c r="B30" s="142" t="s">
        <v>297</v>
      </c>
      <c r="C30" s="116"/>
      <c r="D30" s="194" t="s">
        <v>433</v>
      </c>
      <c r="E30" s="193" t="s">
        <v>384</v>
      </c>
      <c r="F30" s="135" t="s">
        <v>249</v>
      </c>
      <c r="G30" s="193" t="s">
        <v>384</v>
      </c>
      <c r="H30" s="135"/>
      <c r="I30" s="165">
        <v>391.7</v>
      </c>
      <c r="J30" s="165">
        <v>391.7</v>
      </c>
      <c r="K30" s="172">
        <v>691.4</v>
      </c>
      <c r="L30" s="179">
        <f>1337.7-J30</f>
        <v>946</v>
      </c>
      <c r="M30" s="172">
        <v>437.8</v>
      </c>
      <c r="N30" s="257">
        <f>1579.7-L30-J30</f>
        <v>242.00000000000006</v>
      </c>
      <c r="O30" s="172">
        <v>2160.1</v>
      </c>
      <c r="P30" s="172"/>
      <c r="Q30" s="142"/>
      <c r="R30" s="243">
        <f t="shared" si="1"/>
        <v>3681</v>
      </c>
      <c r="S30" s="243">
        <f t="shared" si="5"/>
        <v>1579.7</v>
      </c>
      <c r="T30" s="47"/>
    </row>
    <row r="31" spans="1:20" ht="399" customHeight="1" x14ac:dyDescent="0.25">
      <c r="A31" s="115" t="s">
        <v>49</v>
      </c>
      <c r="B31" s="198" t="s">
        <v>298</v>
      </c>
      <c r="C31" s="116"/>
      <c r="D31" s="198" t="s">
        <v>388</v>
      </c>
      <c r="E31" s="197" t="s">
        <v>384</v>
      </c>
      <c r="F31" s="117" t="s">
        <v>249</v>
      </c>
      <c r="G31" s="197" t="s">
        <v>384</v>
      </c>
      <c r="H31" s="117"/>
      <c r="I31" s="196">
        <v>6.6</v>
      </c>
      <c r="J31" s="196">
        <v>6.6</v>
      </c>
      <c r="K31" s="196">
        <v>4.0999999999999996</v>
      </c>
      <c r="L31" s="196">
        <f>10.1-J31</f>
        <v>3.5</v>
      </c>
      <c r="M31" s="196">
        <v>2.1</v>
      </c>
      <c r="N31" s="257">
        <f>13.6-L31-J31</f>
        <v>3.5</v>
      </c>
      <c r="O31" s="196">
        <v>42.1</v>
      </c>
      <c r="P31" s="196"/>
      <c r="Q31" s="198"/>
      <c r="R31" s="243">
        <f t="shared" si="1"/>
        <v>54.9</v>
      </c>
      <c r="S31" s="243">
        <f t="shared" si="5"/>
        <v>13.6</v>
      </c>
      <c r="T31" s="47"/>
    </row>
    <row r="32" spans="1:20" ht="18.75" customHeight="1" x14ac:dyDescent="0.25">
      <c r="A32" s="380" t="s">
        <v>50</v>
      </c>
      <c r="B32" s="375" t="s">
        <v>299</v>
      </c>
      <c r="C32" s="406"/>
      <c r="D32" s="375" t="s">
        <v>388</v>
      </c>
      <c r="E32" s="412" t="s">
        <v>384</v>
      </c>
      <c r="F32" s="412" t="s">
        <v>249</v>
      </c>
      <c r="G32" s="412" t="s">
        <v>384</v>
      </c>
      <c r="H32" s="412"/>
      <c r="I32" s="373">
        <v>271.5</v>
      </c>
      <c r="J32" s="373">
        <v>277.8</v>
      </c>
      <c r="K32" s="373">
        <v>266</v>
      </c>
      <c r="L32" s="373">
        <f>555-J32</f>
        <v>277.2</v>
      </c>
      <c r="M32" s="373">
        <v>246.3</v>
      </c>
      <c r="N32" s="373">
        <f>801.3-L32-J32</f>
        <v>246.2999999999999</v>
      </c>
      <c r="O32" s="373">
        <v>442.9</v>
      </c>
      <c r="P32" s="373"/>
      <c r="Q32" s="375"/>
      <c r="R32" s="446">
        <f t="shared" si="1"/>
        <v>1226.6999999999998</v>
      </c>
      <c r="S32" s="446">
        <f t="shared" si="5"/>
        <v>801.3</v>
      </c>
      <c r="T32" s="47"/>
    </row>
    <row r="33" spans="1:20" ht="394.5" customHeight="1" x14ac:dyDescent="0.25">
      <c r="A33" s="382"/>
      <c r="B33" s="376"/>
      <c r="C33" s="407"/>
      <c r="D33" s="376"/>
      <c r="E33" s="413"/>
      <c r="F33" s="413"/>
      <c r="G33" s="413"/>
      <c r="H33" s="413"/>
      <c r="I33" s="374"/>
      <c r="J33" s="374"/>
      <c r="K33" s="374"/>
      <c r="L33" s="374"/>
      <c r="M33" s="374"/>
      <c r="N33" s="374"/>
      <c r="O33" s="438"/>
      <c r="P33" s="374"/>
      <c r="Q33" s="376"/>
      <c r="R33" s="447"/>
      <c r="S33" s="447"/>
      <c r="T33" s="47"/>
    </row>
    <row r="34" spans="1:20" ht="387" customHeight="1" x14ac:dyDescent="0.25">
      <c r="A34" s="124" t="s">
        <v>51</v>
      </c>
      <c r="B34" s="143" t="s">
        <v>367</v>
      </c>
      <c r="C34" s="143"/>
      <c r="D34" s="143" t="s">
        <v>388</v>
      </c>
      <c r="E34" s="412" t="s">
        <v>384</v>
      </c>
      <c r="F34" s="412" t="s">
        <v>249</v>
      </c>
      <c r="G34" s="412" t="s">
        <v>384</v>
      </c>
      <c r="H34" s="412"/>
      <c r="I34" s="162">
        <v>172.5</v>
      </c>
      <c r="J34" s="162">
        <v>172.5</v>
      </c>
      <c r="K34" s="169">
        <v>407.3</v>
      </c>
      <c r="L34" s="180">
        <f>823.3-J34</f>
        <v>650.79999999999995</v>
      </c>
      <c r="M34" s="373">
        <v>721.3</v>
      </c>
      <c r="N34" s="255">
        <f>1376.3-L34-J34</f>
        <v>553</v>
      </c>
      <c r="O34" s="373">
        <v>1337.9</v>
      </c>
      <c r="P34" s="169"/>
      <c r="Q34" s="131"/>
      <c r="R34" s="448">
        <f t="shared" si="1"/>
        <v>2639</v>
      </c>
      <c r="S34" s="448">
        <f t="shared" si="5"/>
        <v>1376.3</v>
      </c>
      <c r="T34" s="47"/>
    </row>
    <row r="35" spans="1:20" ht="301.5" customHeight="1" x14ac:dyDescent="0.25">
      <c r="A35" s="78"/>
      <c r="B35" s="78" t="s">
        <v>366</v>
      </c>
      <c r="C35" s="78"/>
      <c r="D35" s="78"/>
      <c r="E35" s="413"/>
      <c r="F35" s="413"/>
      <c r="G35" s="413"/>
      <c r="H35" s="413"/>
      <c r="I35" s="78"/>
      <c r="J35" s="78"/>
      <c r="K35" s="78"/>
      <c r="L35" s="183"/>
      <c r="M35" s="372"/>
      <c r="N35" s="264"/>
      <c r="O35" s="374"/>
      <c r="P35" s="78"/>
      <c r="Q35" s="78"/>
      <c r="R35" s="449"/>
      <c r="S35" s="449"/>
      <c r="T35" s="47"/>
    </row>
    <row r="36" spans="1:20" s="216" customFormat="1" ht="219" customHeight="1" x14ac:dyDescent="0.25">
      <c r="A36" s="258" t="s">
        <v>52</v>
      </c>
      <c r="B36" s="259" t="s">
        <v>301</v>
      </c>
      <c r="C36" s="260"/>
      <c r="D36" s="67" t="s">
        <v>388</v>
      </c>
      <c r="E36" s="117" t="s">
        <v>384</v>
      </c>
      <c r="F36" s="117" t="s">
        <v>249</v>
      </c>
      <c r="G36" s="261">
        <v>44207</v>
      </c>
      <c r="H36" s="117"/>
      <c r="I36" s="257">
        <v>8342.7999999999993</v>
      </c>
      <c r="J36" s="257">
        <v>9583.9</v>
      </c>
      <c r="K36" s="257">
        <v>10315.6</v>
      </c>
      <c r="L36" s="257">
        <f>20881.3-J36</f>
        <v>11297.4</v>
      </c>
      <c r="M36" s="257">
        <v>0</v>
      </c>
      <c r="N36" s="257"/>
      <c r="O36" s="257">
        <v>0</v>
      </c>
      <c r="P36" s="209"/>
      <c r="Q36" s="214"/>
      <c r="R36" s="243">
        <f t="shared" si="1"/>
        <v>18658.400000000001</v>
      </c>
      <c r="S36" s="243">
        <f t="shared" si="5"/>
        <v>20881.3</v>
      </c>
      <c r="T36" s="215"/>
    </row>
    <row r="37" spans="1:20" ht="178.5" customHeight="1" x14ac:dyDescent="0.25">
      <c r="A37" s="258" t="s">
        <v>53</v>
      </c>
      <c r="B37" s="259" t="s">
        <v>302</v>
      </c>
      <c r="C37" s="260"/>
      <c r="D37" s="67" t="s">
        <v>388</v>
      </c>
      <c r="E37" s="251" t="s">
        <v>384</v>
      </c>
      <c r="F37" s="251" t="s">
        <v>249</v>
      </c>
      <c r="G37" s="251" t="s">
        <v>384</v>
      </c>
      <c r="H37" s="117"/>
      <c r="I37" s="257">
        <v>0</v>
      </c>
      <c r="J37" s="257">
        <v>0</v>
      </c>
      <c r="K37" s="257">
        <v>0</v>
      </c>
      <c r="L37" s="257">
        <v>0</v>
      </c>
      <c r="M37" s="257">
        <v>0</v>
      </c>
      <c r="N37" s="257">
        <v>0</v>
      </c>
      <c r="O37" s="257">
        <v>39</v>
      </c>
      <c r="P37" s="172"/>
      <c r="Q37" s="142"/>
      <c r="R37" s="243">
        <f t="shared" si="1"/>
        <v>39</v>
      </c>
      <c r="S37" s="243">
        <f t="shared" si="5"/>
        <v>0</v>
      </c>
      <c r="T37" s="47"/>
    </row>
    <row r="38" spans="1:20" s="216" customFormat="1" ht="253.5" customHeight="1" x14ac:dyDescent="0.25">
      <c r="A38" s="258" t="s">
        <v>377</v>
      </c>
      <c r="B38" s="259" t="s">
        <v>381</v>
      </c>
      <c r="C38" s="260"/>
      <c r="D38" s="67" t="s">
        <v>388</v>
      </c>
      <c r="E38" s="250" t="s">
        <v>387</v>
      </c>
      <c r="F38" s="250">
        <v>44561</v>
      </c>
      <c r="G38" s="250" t="s">
        <v>387</v>
      </c>
      <c r="H38" s="117"/>
      <c r="I38" s="257">
        <v>0</v>
      </c>
      <c r="J38" s="257">
        <v>0</v>
      </c>
      <c r="K38" s="257">
        <v>0</v>
      </c>
      <c r="L38" s="257">
        <v>0</v>
      </c>
      <c r="M38" s="257">
        <v>10883.6</v>
      </c>
      <c r="N38" s="257">
        <f>32197.7-L36-J36</f>
        <v>11316.400000000003</v>
      </c>
      <c r="O38" s="257">
        <v>9145.2999999999993</v>
      </c>
      <c r="P38" s="209"/>
      <c r="Q38" s="214"/>
      <c r="R38" s="243">
        <f t="shared" si="1"/>
        <v>20028.900000000001</v>
      </c>
      <c r="S38" s="243">
        <f t="shared" si="5"/>
        <v>11316.400000000003</v>
      </c>
      <c r="T38" s="215"/>
    </row>
    <row r="39" spans="1:20" s="216" customFormat="1" ht="222" customHeight="1" x14ac:dyDescent="0.25">
      <c r="A39" s="258" t="s">
        <v>378</v>
      </c>
      <c r="B39" s="259" t="s">
        <v>382</v>
      </c>
      <c r="C39" s="260"/>
      <c r="D39" s="67" t="s">
        <v>388</v>
      </c>
      <c r="E39" s="250" t="s">
        <v>387</v>
      </c>
      <c r="F39" s="250">
        <v>44561</v>
      </c>
      <c r="G39" s="250" t="s">
        <v>387</v>
      </c>
      <c r="H39" s="117"/>
      <c r="I39" s="257">
        <v>0</v>
      </c>
      <c r="J39" s="257">
        <v>0</v>
      </c>
      <c r="K39" s="257">
        <v>0</v>
      </c>
      <c r="L39" s="257">
        <v>0</v>
      </c>
      <c r="M39" s="257">
        <v>150.69999999999999</v>
      </c>
      <c r="N39" s="257">
        <v>458.2</v>
      </c>
      <c r="O39" s="257">
        <v>474.5</v>
      </c>
      <c r="P39" s="209"/>
      <c r="Q39" s="214"/>
      <c r="R39" s="243">
        <f t="shared" si="1"/>
        <v>625.20000000000005</v>
      </c>
      <c r="S39" s="243">
        <f t="shared" si="5"/>
        <v>458.2</v>
      </c>
      <c r="T39" s="215"/>
    </row>
    <row r="40" spans="1:20" ht="180.75" customHeight="1" x14ac:dyDescent="0.25">
      <c r="A40" s="115" t="s">
        <v>54</v>
      </c>
      <c r="B40" s="142" t="s">
        <v>303</v>
      </c>
      <c r="C40" s="116"/>
      <c r="D40" s="67" t="s">
        <v>388</v>
      </c>
      <c r="E40" s="135" t="s">
        <v>383</v>
      </c>
      <c r="F40" s="135" t="s">
        <v>249</v>
      </c>
      <c r="G40" s="167" t="s">
        <v>383</v>
      </c>
      <c r="H40" s="140"/>
      <c r="I40" s="165">
        <v>0</v>
      </c>
      <c r="J40" s="165">
        <v>0</v>
      </c>
      <c r="K40" s="172">
        <v>0</v>
      </c>
      <c r="L40" s="179">
        <v>0</v>
      </c>
      <c r="M40" s="196">
        <v>0</v>
      </c>
      <c r="N40" s="257">
        <v>0</v>
      </c>
      <c r="O40" s="169">
        <v>197.9</v>
      </c>
      <c r="P40" s="172"/>
      <c r="Q40" s="142"/>
      <c r="R40" s="243">
        <f t="shared" si="1"/>
        <v>197.9</v>
      </c>
      <c r="S40" s="243">
        <f t="shared" si="5"/>
        <v>0</v>
      </c>
      <c r="T40" s="47"/>
    </row>
    <row r="41" spans="1:20" ht="222" customHeight="1" x14ac:dyDescent="0.25">
      <c r="A41" s="115" t="s">
        <v>55</v>
      </c>
      <c r="B41" s="142" t="s">
        <v>304</v>
      </c>
      <c r="C41" s="116"/>
      <c r="D41" s="67" t="s">
        <v>388</v>
      </c>
      <c r="E41" s="195" t="s">
        <v>384</v>
      </c>
      <c r="F41" s="135" t="s">
        <v>249</v>
      </c>
      <c r="G41" s="195" t="s">
        <v>384</v>
      </c>
      <c r="H41" s="140"/>
      <c r="I41" s="165">
        <v>320226.90000000002</v>
      </c>
      <c r="J41" s="165">
        <v>320226.90000000002</v>
      </c>
      <c r="K41" s="172">
        <v>3285.5</v>
      </c>
      <c r="L41" s="179">
        <f>324037.7-J41</f>
        <v>3810.7999999999884</v>
      </c>
      <c r="M41" s="196">
        <v>2876.2</v>
      </c>
      <c r="N41" s="257">
        <f>327004.1-L41-J41</f>
        <v>2966.3999999999651</v>
      </c>
      <c r="O41" s="169">
        <v>11857</v>
      </c>
      <c r="P41" s="172"/>
      <c r="Q41" s="142"/>
      <c r="R41" s="243">
        <f t="shared" si="1"/>
        <v>338245.60000000003</v>
      </c>
      <c r="S41" s="243">
        <f t="shared" si="5"/>
        <v>327004.09999999998</v>
      </c>
      <c r="T41" s="47"/>
    </row>
    <row r="42" spans="1:20" ht="252" customHeight="1" x14ac:dyDescent="0.25">
      <c r="A42" s="380" t="s">
        <v>56</v>
      </c>
      <c r="B42" s="375" t="s">
        <v>305</v>
      </c>
      <c r="C42" s="406"/>
      <c r="D42" s="375" t="s">
        <v>388</v>
      </c>
      <c r="E42" s="377" t="s">
        <v>384</v>
      </c>
      <c r="F42" s="377">
        <v>44561</v>
      </c>
      <c r="G42" s="377" t="s">
        <v>384</v>
      </c>
      <c r="H42" s="377"/>
      <c r="I42" s="373">
        <v>27903.4</v>
      </c>
      <c r="J42" s="373">
        <v>27903.4</v>
      </c>
      <c r="K42" s="373">
        <v>27166.5</v>
      </c>
      <c r="L42" s="373">
        <f>55313.8-J42</f>
        <v>27410.400000000001</v>
      </c>
      <c r="M42" s="373">
        <v>26426</v>
      </c>
      <c r="N42" s="373">
        <f>82705.5-L42-J42</f>
        <v>27391.699999999997</v>
      </c>
      <c r="O42" s="373">
        <v>20813.8</v>
      </c>
      <c r="P42" s="373"/>
      <c r="Q42" s="375"/>
      <c r="R42" s="446">
        <f t="shared" si="1"/>
        <v>102309.7</v>
      </c>
      <c r="S42" s="446">
        <f t="shared" si="5"/>
        <v>82705.5</v>
      </c>
      <c r="T42" s="47"/>
    </row>
    <row r="43" spans="1:20" ht="201.75" customHeight="1" x14ac:dyDescent="0.25">
      <c r="A43" s="382"/>
      <c r="B43" s="376"/>
      <c r="C43" s="407"/>
      <c r="D43" s="376"/>
      <c r="E43" s="379"/>
      <c r="F43" s="379"/>
      <c r="G43" s="379"/>
      <c r="H43" s="379"/>
      <c r="I43" s="374"/>
      <c r="J43" s="374"/>
      <c r="K43" s="374"/>
      <c r="L43" s="374"/>
      <c r="M43" s="374"/>
      <c r="N43" s="374"/>
      <c r="O43" s="437"/>
      <c r="P43" s="374"/>
      <c r="Q43" s="376"/>
      <c r="R43" s="447"/>
      <c r="S43" s="447"/>
      <c r="T43" s="47"/>
    </row>
    <row r="44" spans="1:20" ht="409.5" customHeight="1" x14ac:dyDescent="0.25">
      <c r="A44" s="380" t="s">
        <v>57</v>
      </c>
      <c r="B44" s="375" t="s">
        <v>306</v>
      </c>
      <c r="C44" s="406"/>
      <c r="D44" s="375" t="s">
        <v>388</v>
      </c>
      <c r="E44" s="377" t="s">
        <v>384</v>
      </c>
      <c r="F44" s="377">
        <v>44561</v>
      </c>
      <c r="G44" s="377" t="s">
        <v>384</v>
      </c>
      <c r="H44" s="377"/>
      <c r="I44" s="373">
        <v>258.60000000000002</v>
      </c>
      <c r="J44" s="373">
        <f>258.6-0.1</f>
        <v>258.5</v>
      </c>
      <c r="K44" s="373">
        <v>0</v>
      </c>
      <c r="L44" s="373">
        <v>0</v>
      </c>
      <c r="M44" s="373">
        <v>0</v>
      </c>
      <c r="N44" s="373">
        <v>0</v>
      </c>
      <c r="O44" s="373">
        <v>1234.3</v>
      </c>
      <c r="P44" s="373"/>
      <c r="Q44" s="375"/>
      <c r="R44" s="446">
        <f t="shared" si="1"/>
        <v>1492.9</v>
      </c>
      <c r="S44" s="446">
        <f t="shared" si="5"/>
        <v>258.5</v>
      </c>
      <c r="T44" s="47"/>
    </row>
    <row r="45" spans="1:20" ht="43.5" customHeight="1" x14ac:dyDescent="0.25">
      <c r="A45" s="382"/>
      <c r="B45" s="376"/>
      <c r="C45" s="407"/>
      <c r="D45" s="376"/>
      <c r="E45" s="379"/>
      <c r="F45" s="379"/>
      <c r="G45" s="379"/>
      <c r="H45" s="379"/>
      <c r="I45" s="374"/>
      <c r="J45" s="374"/>
      <c r="K45" s="374"/>
      <c r="L45" s="374"/>
      <c r="M45" s="374"/>
      <c r="N45" s="374"/>
      <c r="O45" s="437"/>
      <c r="P45" s="374"/>
      <c r="Q45" s="376"/>
      <c r="R45" s="447"/>
      <c r="S45" s="447"/>
      <c r="T45" s="47"/>
    </row>
    <row r="46" spans="1:20" ht="408.75" customHeight="1" x14ac:dyDescent="0.25">
      <c r="A46" s="392" t="s">
        <v>58</v>
      </c>
      <c r="B46" s="390" t="s">
        <v>307</v>
      </c>
      <c r="C46" s="393"/>
      <c r="D46" s="390" t="s">
        <v>388</v>
      </c>
      <c r="E46" s="391" t="s">
        <v>384</v>
      </c>
      <c r="F46" s="391">
        <v>44561</v>
      </c>
      <c r="G46" s="391" t="s">
        <v>384</v>
      </c>
      <c r="H46" s="391"/>
      <c r="I46" s="372">
        <v>4015.2</v>
      </c>
      <c r="J46" s="372">
        <v>4015.2</v>
      </c>
      <c r="K46" s="372">
        <v>4015.1</v>
      </c>
      <c r="L46" s="372">
        <f>8031.2-J46</f>
        <v>4016</v>
      </c>
      <c r="M46" s="372">
        <v>3923.4</v>
      </c>
      <c r="N46" s="373">
        <f>11954.6-L46-J46</f>
        <v>3923.4000000000005</v>
      </c>
      <c r="O46" s="372">
        <v>5585.5</v>
      </c>
      <c r="P46" s="372"/>
      <c r="Q46" s="390"/>
      <c r="R46" s="446">
        <f t="shared" si="1"/>
        <v>17539.199999999997</v>
      </c>
      <c r="S46" s="446">
        <f t="shared" si="5"/>
        <v>11954.6</v>
      </c>
      <c r="T46" s="47"/>
    </row>
    <row r="47" spans="1:20" ht="31.5" customHeight="1" x14ac:dyDescent="0.25">
      <c r="A47" s="392"/>
      <c r="B47" s="390"/>
      <c r="C47" s="393"/>
      <c r="D47" s="390"/>
      <c r="E47" s="391"/>
      <c r="F47" s="391"/>
      <c r="G47" s="391"/>
      <c r="H47" s="391"/>
      <c r="I47" s="372"/>
      <c r="J47" s="372"/>
      <c r="K47" s="372"/>
      <c r="L47" s="372"/>
      <c r="M47" s="372"/>
      <c r="N47" s="374"/>
      <c r="O47" s="372"/>
      <c r="P47" s="372"/>
      <c r="Q47" s="390"/>
      <c r="R47" s="447"/>
      <c r="S47" s="447"/>
      <c r="T47" s="47"/>
    </row>
    <row r="48" spans="1:20" ht="399" customHeight="1" x14ac:dyDescent="0.25">
      <c r="A48" s="115" t="s">
        <v>59</v>
      </c>
      <c r="B48" s="142" t="s">
        <v>308</v>
      </c>
      <c r="C48" s="116"/>
      <c r="D48" s="67" t="s">
        <v>388</v>
      </c>
      <c r="E48" s="195" t="s">
        <v>384</v>
      </c>
      <c r="F48" s="117" t="s">
        <v>249</v>
      </c>
      <c r="G48" s="195" t="s">
        <v>384</v>
      </c>
      <c r="H48" s="140"/>
      <c r="I48" s="165">
        <v>26.4</v>
      </c>
      <c r="J48" s="165">
        <v>26.4</v>
      </c>
      <c r="K48" s="172">
        <v>0.1</v>
      </c>
      <c r="L48" s="179">
        <v>0.1</v>
      </c>
      <c r="M48" s="169">
        <v>70.2</v>
      </c>
      <c r="N48" s="257">
        <f>96.7-L48-J48</f>
        <v>70.200000000000017</v>
      </c>
      <c r="O48" s="169">
        <v>27</v>
      </c>
      <c r="P48" s="172"/>
      <c r="Q48" s="142"/>
      <c r="R48" s="243">
        <f t="shared" si="1"/>
        <v>123.7</v>
      </c>
      <c r="S48" s="243">
        <f t="shared" si="5"/>
        <v>96.700000000000017</v>
      </c>
      <c r="T48" s="47"/>
    </row>
    <row r="49" spans="1:20" ht="218.25" customHeight="1" x14ac:dyDescent="0.25">
      <c r="A49" s="115" t="s">
        <v>60</v>
      </c>
      <c r="B49" s="142" t="s">
        <v>309</v>
      </c>
      <c r="C49" s="116"/>
      <c r="D49" s="67" t="s">
        <v>388</v>
      </c>
      <c r="E49" s="195" t="s">
        <v>384</v>
      </c>
      <c r="F49" s="140">
        <v>44561</v>
      </c>
      <c r="G49" s="195" t="s">
        <v>384</v>
      </c>
      <c r="H49" s="140"/>
      <c r="I49" s="165">
        <v>10769.4</v>
      </c>
      <c r="J49" s="165">
        <v>10769.4</v>
      </c>
      <c r="K49" s="172">
        <v>10505.4</v>
      </c>
      <c r="L49" s="179">
        <f>21538.8-J49</f>
        <v>10769.4</v>
      </c>
      <c r="M49" s="172">
        <v>10050</v>
      </c>
      <c r="N49" s="257">
        <f>32024.3-L49-J49</f>
        <v>10485.500000000002</v>
      </c>
      <c r="O49" s="172">
        <v>15522.3</v>
      </c>
      <c r="P49" s="172"/>
      <c r="Q49" s="142"/>
      <c r="R49" s="243">
        <f t="shared" si="1"/>
        <v>46847.1</v>
      </c>
      <c r="S49" s="243">
        <f t="shared" si="5"/>
        <v>32024.300000000003</v>
      </c>
      <c r="T49" s="47"/>
    </row>
    <row r="50" spans="1:20" s="216" customFormat="1" ht="18.75" customHeight="1" x14ac:dyDescent="0.25">
      <c r="A50" s="380" t="s">
        <v>61</v>
      </c>
      <c r="B50" s="375" t="s">
        <v>402</v>
      </c>
      <c r="C50" s="406"/>
      <c r="D50" s="375" t="s">
        <v>388</v>
      </c>
      <c r="E50" s="377" t="s">
        <v>384</v>
      </c>
      <c r="F50" s="377">
        <v>44561</v>
      </c>
      <c r="G50" s="377" t="s">
        <v>384</v>
      </c>
      <c r="H50" s="377"/>
      <c r="I50" s="373">
        <v>318666</v>
      </c>
      <c r="J50" s="373">
        <v>318849.09999999998</v>
      </c>
      <c r="K50" s="373">
        <v>316221</v>
      </c>
      <c r="L50" s="373">
        <f>688403.3-J50</f>
        <v>369554.20000000007</v>
      </c>
      <c r="M50" s="418">
        <v>355081.8</v>
      </c>
      <c r="N50" s="373">
        <f>1086301.6-L50-J50</f>
        <v>397898.30000000005</v>
      </c>
      <c r="O50" s="418">
        <v>705380.3</v>
      </c>
      <c r="P50" s="414"/>
      <c r="Q50" s="416"/>
      <c r="R50" s="450">
        <f t="shared" si="1"/>
        <v>1695349.1</v>
      </c>
      <c r="S50" s="446">
        <f t="shared" si="5"/>
        <v>1086301.6000000001</v>
      </c>
      <c r="T50" s="215"/>
    </row>
    <row r="51" spans="1:20" ht="330" customHeight="1" x14ac:dyDescent="0.25">
      <c r="A51" s="381"/>
      <c r="B51" s="383"/>
      <c r="C51" s="424"/>
      <c r="D51" s="383"/>
      <c r="E51" s="378"/>
      <c r="F51" s="378"/>
      <c r="G51" s="378"/>
      <c r="H51" s="378"/>
      <c r="I51" s="401"/>
      <c r="J51" s="401"/>
      <c r="K51" s="401"/>
      <c r="L51" s="401"/>
      <c r="M51" s="419"/>
      <c r="N51" s="401"/>
      <c r="O51" s="419"/>
      <c r="P51" s="415"/>
      <c r="Q51" s="417"/>
      <c r="R51" s="451"/>
      <c r="S51" s="447"/>
      <c r="T51" s="247" t="s">
        <v>430</v>
      </c>
    </row>
    <row r="52" spans="1:20" ht="369" customHeight="1" x14ac:dyDescent="0.25">
      <c r="A52" s="381"/>
      <c r="B52" s="435" t="s">
        <v>401</v>
      </c>
      <c r="C52" s="381"/>
      <c r="D52" s="381"/>
      <c r="E52" s="381"/>
      <c r="F52" s="381"/>
      <c r="G52" s="381"/>
      <c r="H52" s="381"/>
      <c r="I52" s="381"/>
      <c r="J52" s="381"/>
      <c r="K52" s="401"/>
      <c r="L52" s="381"/>
      <c r="M52" s="419"/>
      <c r="N52" s="381"/>
      <c r="O52" s="419"/>
      <c r="P52" s="421"/>
      <c r="Q52" s="421"/>
      <c r="R52" s="243">
        <f t="shared" si="1"/>
        <v>0</v>
      </c>
      <c r="S52" s="243">
        <f t="shared" si="5"/>
        <v>0</v>
      </c>
      <c r="T52" s="47"/>
    </row>
    <row r="53" spans="1:20" ht="408.75" customHeight="1" x14ac:dyDescent="0.25">
      <c r="A53" s="382"/>
      <c r="B53" s="436"/>
      <c r="C53" s="382"/>
      <c r="D53" s="382"/>
      <c r="E53" s="382"/>
      <c r="F53" s="382"/>
      <c r="G53" s="382"/>
      <c r="H53" s="382"/>
      <c r="I53" s="382"/>
      <c r="J53" s="382"/>
      <c r="K53" s="374"/>
      <c r="L53" s="382"/>
      <c r="M53" s="420"/>
      <c r="N53" s="382"/>
      <c r="O53" s="420"/>
      <c r="P53" s="422"/>
      <c r="Q53" s="422"/>
      <c r="R53" s="243">
        <f t="shared" si="1"/>
        <v>0</v>
      </c>
      <c r="S53" s="243">
        <f t="shared" si="5"/>
        <v>0</v>
      </c>
      <c r="T53" s="47"/>
    </row>
    <row r="54" spans="1:20" ht="408.75" customHeight="1" x14ac:dyDescent="0.25">
      <c r="A54" s="380" t="s">
        <v>63</v>
      </c>
      <c r="B54" s="375" t="s">
        <v>365</v>
      </c>
      <c r="C54" s="406"/>
      <c r="D54" s="375" t="s">
        <v>388</v>
      </c>
      <c r="E54" s="377" t="s">
        <v>384</v>
      </c>
      <c r="F54" s="377">
        <v>44561</v>
      </c>
      <c r="G54" s="377" t="s">
        <v>384</v>
      </c>
      <c r="H54" s="377"/>
      <c r="I54" s="373">
        <v>970</v>
      </c>
      <c r="J54" s="373">
        <v>970</v>
      </c>
      <c r="K54" s="373">
        <v>826.1</v>
      </c>
      <c r="L54" s="373">
        <f>2320.5-J54</f>
        <v>1350.5</v>
      </c>
      <c r="M54" s="373">
        <v>817.1</v>
      </c>
      <c r="N54" s="373">
        <f>2699.6-L54-J54</f>
        <v>379.09999999999991</v>
      </c>
      <c r="O54" s="373">
        <v>12401.8</v>
      </c>
      <c r="P54" s="373"/>
      <c r="Q54" s="375"/>
      <c r="R54" s="446">
        <f t="shared" si="1"/>
        <v>15015</v>
      </c>
      <c r="S54" s="446">
        <f t="shared" si="5"/>
        <v>2699.6</v>
      </c>
      <c r="T54" s="47"/>
    </row>
    <row r="55" spans="1:20" ht="66" customHeight="1" x14ac:dyDescent="0.25">
      <c r="A55" s="382"/>
      <c r="B55" s="376"/>
      <c r="C55" s="407"/>
      <c r="D55" s="383"/>
      <c r="E55" s="378"/>
      <c r="F55" s="379"/>
      <c r="G55" s="378"/>
      <c r="H55" s="379"/>
      <c r="I55" s="374"/>
      <c r="J55" s="374"/>
      <c r="K55" s="374"/>
      <c r="L55" s="374"/>
      <c r="M55" s="374"/>
      <c r="N55" s="374"/>
      <c r="O55" s="374"/>
      <c r="P55" s="374"/>
      <c r="Q55" s="376"/>
      <c r="R55" s="447"/>
      <c r="S55" s="447"/>
      <c r="T55" s="47"/>
    </row>
    <row r="56" spans="1:20" ht="161.25" customHeight="1" x14ac:dyDescent="0.25">
      <c r="A56" s="380" t="s">
        <v>65</v>
      </c>
      <c r="B56" s="375" t="s">
        <v>66</v>
      </c>
      <c r="C56" s="406"/>
      <c r="D56" s="375" t="s">
        <v>417</v>
      </c>
      <c r="E56" s="377">
        <v>44207</v>
      </c>
      <c r="F56" s="377">
        <v>44561</v>
      </c>
      <c r="G56" s="377">
        <v>44207</v>
      </c>
      <c r="H56" s="377"/>
      <c r="I56" s="373">
        <f t="shared" ref="I56:J56" si="6">I58+I59</f>
        <v>158326.9</v>
      </c>
      <c r="J56" s="373">
        <f t="shared" si="6"/>
        <v>158618.4</v>
      </c>
      <c r="K56" s="373">
        <v>241229.3</v>
      </c>
      <c r="L56" s="373">
        <f>L58+L59</f>
        <v>291439.8</v>
      </c>
      <c r="M56" s="374">
        <v>479921.3</v>
      </c>
      <c r="N56" s="373">
        <f>N58+N59</f>
        <v>557348.80000000005</v>
      </c>
      <c r="O56" s="374">
        <v>1080889.8999999999</v>
      </c>
      <c r="P56" s="373"/>
      <c r="Q56" s="375"/>
      <c r="R56" s="446">
        <f t="shared" si="1"/>
        <v>1960367.4</v>
      </c>
      <c r="S56" s="446">
        <f t="shared" si="5"/>
        <v>1007407.0000000001</v>
      </c>
      <c r="T56" s="47"/>
    </row>
    <row r="57" spans="1:20" ht="18.75" customHeight="1" x14ac:dyDescent="0.25">
      <c r="A57" s="382"/>
      <c r="B57" s="376"/>
      <c r="C57" s="407"/>
      <c r="D57" s="376"/>
      <c r="E57" s="379"/>
      <c r="F57" s="379"/>
      <c r="G57" s="379"/>
      <c r="H57" s="379"/>
      <c r="I57" s="374"/>
      <c r="J57" s="374"/>
      <c r="K57" s="374"/>
      <c r="L57" s="374"/>
      <c r="M57" s="374"/>
      <c r="N57" s="374"/>
      <c r="O57" s="374"/>
      <c r="P57" s="374"/>
      <c r="Q57" s="376"/>
      <c r="R57" s="447"/>
      <c r="S57" s="447"/>
      <c r="T57" s="47"/>
    </row>
    <row r="58" spans="1:20" ht="181.5" customHeight="1" x14ac:dyDescent="0.25">
      <c r="A58" s="126" t="s">
        <v>235</v>
      </c>
      <c r="B58" s="132" t="s">
        <v>312</v>
      </c>
      <c r="C58" s="123"/>
      <c r="D58" s="132" t="s">
        <v>389</v>
      </c>
      <c r="E58" s="134">
        <v>44207</v>
      </c>
      <c r="F58" s="134">
        <v>44561</v>
      </c>
      <c r="G58" s="134">
        <v>44207</v>
      </c>
      <c r="H58" s="134"/>
      <c r="I58" s="164">
        <v>158326.9</v>
      </c>
      <c r="J58" s="164">
        <v>158618.4</v>
      </c>
      <c r="K58" s="171">
        <v>178006</v>
      </c>
      <c r="L58" s="182">
        <f>349912.3-J58</f>
        <v>191293.9</v>
      </c>
      <c r="M58" s="170">
        <v>162380</v>
      </c>
      <c r="N58" s="256">
        <f>513970.2-L58-J58</f>
        <v>164057.90000000005</v>
      </c>
      <c r="O58" s="170">
        <v>293262.8</v>
      </c>
      <c r="P58" s="171"/>
      <c r="Q58" s="132"/>
      <c r="R58" s="243">
        <f t="shared" si="1"/>
        <v>791975.7</v>
      </c>
      <c r="S58" s="243">
        <f t="shared" si="5"/>
        <v>513970.20000000007</v>
      </c>
      <c r="T58" s="47"/>
    </row>
    <row r="59" spans="1:20" ht="192" customHeight="1" x14ac:dyDescent="0.25">
      <c r="A59" s="126" t="s">
        <v>236</v>
      </c>
      <c r="B59" s="132" t="s">
        <v>313</v>
      </c>
      <c r="C59" s="123"/>
      <c r="D59" s="132" t="s">
        <v>418</v>
      </c>
      <c r="E59" s="134">
        <v>44287</v>
      </c>
      <c r="F59" s="134">
        <v>44561</v>
      </c>
      <c r="G59" s="134">
        <v>44287</v>
      </c>
      <c r="H59" s="134"/>
      <c r="I59" s="164">
        <v>0</v>
      </c>
      <c r="J59" s="164">
        <v>0</v>
      </c>
      <c r="K59" s="201">
        <v>63223.3</v>
      </c>
      <c r="L59" s="226">
        <v>100145.9</v>
      </c>
      <c r="M59" s="196">
        <v>317541.3</v>
      </c>
      <c r="N59" s="257">
        <f>493436.8-L59</f>
        <v>393290.9</v>
      </c>
      <c r="O59" s="196">
        <v>787627.1</v>
      </c>
      <c r="P59" s="171"/>
      <c r="Q59" s="206"/>
      <c r="R59" s="243">
        <f t="shared" si="1"/>
        <v>1168391.7</v>
      </c>
      <c r="S59" s="243">
        <f t="shared" si="5"/>
        <v>493436.80000000005</v>
      </c>
      <c r="T59" s="114">
        <v>386472.2</v>
      </c>
    </row>
    <row r="60" spans="1:20" ht="65.25" customHeight="1" x14ac:dyDescent="0.25">
      <c r="A60" s="115" t="s">
        <v>253</v>
      </c>
      <c r="B60" s="198" t="s">
        <v>254</v>
      </c>
      <c r="C60" s="116"/>
      <c r="D60" s="198"/>
      <c r="E60" s="197"/>
      <c r="F60" s="197"/>
      <c r="G60" s="197"/>
      <c r="H60" s="197"/>
      <c r="I60" s="196"/>
      <c r="J60" s="196"/>
      <c r="K60" s="196"/>
      <c r="L60" s="196"/>
      <c r="M60" s="196"/>
      <c r="N60" s="257"/>
      <c r="O60" s="196"/>
      <c r="P60" s="196"/>
      <c r="Q60" s="198"/>
      <c r="R60" s="243"/>
      <c r="S60" s="243"/>
      <c r="T60" s="47"/>
    </row>
    <row r="61" spans="1:20" ht="288.75" customHeight="1" x14ac:dyDescent="0.25">
      <c r="A61" s="380" t="s">
        <v>237</v>
      </c>
      <c r="B61" s="375" t="s">
        <v>314</v>
      </c>
      <c r="C61" s="406"/>
      <c r="D61" s="375" t="s">
        <v>390</v>
      </c>
      <c r="E61" s="412" t="s">
        <v>274</v>
      </c>
      <c r="F61" s="412" t="s">
        <v>249</v>
      </c>
      <c r="G61" s="412"/>
      <c r="H61" s="377"/>
      <c r="I61" s="373">
        <v>0</v>
      </c>
      <c r="J61" s="373">
        <v>0</v>
      </c>
      <c r="K61" s="373">
        <v>23654.400000000001</v>
      </c>
      <c r="L61" s="373">
        <v>23654.400000000001</v>
      </c>
      <c r="M61" s="373">
        <v>8102.9</v>
      </c>
      <c r="N61" s="373">
        <f>31757.3-L61</f>
        <v>8102.8999999999978</v>
      </c>
      <c r="O61" s="373">
        <v>14117.4</v>
      </c>
      <c r="P61" s="373"/>
      <c r="Q61" s="375"/>
      <c r="R61" s="446">
        <f t="shared" si="1"/>
        <v>45874.700000000004</v>
      </c>
      <c r="S61" s="446">
        <f t="shared" si="5"/>
        <v>31757.3</v>
      </c>
      <c r="T61" s="47"/>
    </row>
    <row r="62" spans="1:20" ht="27" customHeight="1" x14ac:dyDescent="0.25">
      <c r="A62" s="382"/>
      <c r="B62" s="376"/>
      <c r="C62" s="407"/>
      <c r="D62" s="376"/>
      <c r="E62" s="413"/>
      <c r="F62" s="413"/>
      <c r="G62" s="413"/>
      <c r="H62" s="379"/>
      <c r="I62" s="374"/>
      <c r="J62" s="374"/>
      <c r="K62" s="374"/>
      <c r="L62" s="374"/>
      <c r="M62" s="374"/>
      <c r="N62" s="374"/>
      <c r="O62" s="374"/>
      <c r="P62" s="374"/>
      <c r="Q62" s="376"/>
      <c r="R62" s="447"/>
      <c r="S62" s="447"/>
      <c r="T62" s="47"/>
    </row>
    <row r="63" spans="1:20" ht="338.25" customHeight="1" x14ac:dyDescent="0.25">
      <c r="A63" s="380" t="s">
        <v>67</v>
      </c>
      <c r="B63" s="375" t="s">
        <v>364</v>
      </c>
      <c r="C63" s="406"/>
      <c r="D63" s="375" t="s">
        <v>390</v>
      </c>
      <c r="E63" s="377">
        <v>44287</v>
      </c>
      <c r="F63" s="377">
        <v>44561</v>
      </c>
      <c r="G63" s="412"/>
      <c r="H63" s="377"/>
      <c r="I63" s="373">
        <v>0</v>
      </c>
      <c r="J63" s="373">
        <v>0</v>
      </c>
      <c r="K63" s="373">
        <v>1693.4</v>
      </c>
      <c r="L63" s="373">
        <v>1693.4</v>
      </c>
      <c r="M63" s="374">
        <v>2623.9</v>
      </c>
      <c r="N63" s="373">
        <f>4317.3-L63</f>
        <v>2623.9</v>
      </c>
      <c r="O63" s="374">
        <v>53044.2</v>
      </c>
      <c r="P63" s="373"/>
      <c r="Q63" s="375"/>
      <c r="R63" s="446">
        <f t="shared" si="1"/>
        <v>57361.5</v>
      </c>
      <c r="S63" s="446">
        <f t="shared" si="5"/>
        <v>4317.3</v>
      </c>
      <c r="T63" s="47"/>
    </row>
    <row r="64" spans="1:20" ht="18.75" customHeight="1" x14ac:dyDescent="0.25">
      <c r="A64" s="382"/>
      <c r="B64" s="376"/>
      <c r="C64" s="407"/>
      <c r="D64" s="376"/>
      <c r="E64" s="413"/>
      <c r="F64" s="413"/>
      <c r="G64" s="413"/>
      <c r="H64" s="379"/>
      <c r="I64" s="374"/>
      <c r="J64" s="374"/>
      <c r="K64" s="374"/>
      <c r="L64" s="374"/>
      <c r="M64" s="372"/>
      <c r="N64" s="374"/>
      <c r="O64" s="372"/>
      <c r="P64" s="374"/>
      <c r="Q64" s="376"/>
      <c r="R64" s="447"/>
      <c r="S64" s="447"/>
      <c r="T64" s="47"/>
    </row>
    <row r="65" spans="1:20" ht="375" x14ac:dyDescent="0.25">
      <c r="A65" s="126" t="s">
        <v>68</v>
      </c>
      <c r="B65" s="132" t="s">
        <v>363</v>
      </c>
      <c r="C65" s="123"/>
      <c r="D65" s="132" t="s">
        <v>390</v>
      </c>
      <c r="E65" s="134">
        <v>44287</v>
      </c>
      <c r="F65" s="134">
        <v>44561</v>
      </c>
      <c r="G65" s="134"/>
      <c r="H65" s="136"/>
      <c r="I65" s="164">
        <v>0</v>
      </c>
      <c r="J65" s="164">
        <v>0</v>
      </c>
      <c r="K65" s="171">
        <v>27941.200000000001</v>
      </c>
      <c r="L65" s="182">
        <v>27941.200000000001</v>
      </c>
      <c r="M65" s="172">
        <v>6687.2</v>
      </c>
      <c r="N65" s="256">
        <f>34628.4-L65</f>
        <v>6687.2000000000007</v>
      </c>
      <c r="O65" s="172">
        <v>59.4</v>
      </c>
      <c r="P65" s="171"/>
      <c r="Q65" s="132"/>
      <c r="R65" s="243">
        <f t="shared" si="1"/>
        <v>34687.800000000003</v>
      </c>
      <c r="S65" s="243">
        <f t="shared" si="5"/>
        <v>34628.400000000001</v>
      </c>
      <c r="T65" s="47"/>
    </row>
    <row r="66" spans="1:20" ht="56.25" customHeight="1" x14ac:dyDescent="0.25">
      <c r="A66" s="115" t="s">
        <v>255</v>
      </c>
      <c r="B66" s="198" t="s">
        <v>256</v>
      </c>
      <c r="C66" s="116"/>
      <c r="D66" s="198"/>
      <c r="E66" s="197"/>
      <c r="F66" s="197"/>
      <c r="G66" s="197"/>
      <c r="H66" s="117"/>
      <c r="I66" s="196"/>
      <c r="J66" s="196"/>
      <c r="K66" s="196"/>
      <c r="L66" s="196"/>
      <c r="M66" s="196"/>
      <c r="N66" s="257"/>
      <c r="O66" s="196"/>
      <c r="P66" s="196"/>
      <c r="Q66" s="198"/>
      <c r="R66" s="243"/>
      <c r="S66" s="243"/>
      <c r="T66" s="47"/>
    </row>
    <row r="67" spans="1:20" ht="394.5" customHeight="1" x14ac:dyDescent="0.25">
      <c r="A67" s="126" t="s">
        <v>228</v>
      </c>
      <c r="B67" s="142" t="s">
        <v>362</v>
      </c>
      <c r="C67" s="116"/>
      <c r="D67" s="194" t="s">
        <v>433</v>
      </c>
      <c r="E67" s="140">
        <v>44207</v>
      </c>
      <c r="F67" s="140">
        <v>44561</v>
      </c>
      <c r="G67" s="193">
        <v>44207</v>
      </c>
      <c r="H67" s="117"/>
      <c r="I67" s="165">
        <v>2733.8</v>
      </c>
      <c r="J67" s="165">
        <v>2763.8</v>
      </c>
      <c r="K67" s="172">
        <v>2509</v>
      </c>
      <c r="L67" s="179">
        <f>5588.4-J67</f>
        <v>2824.5999999999995</v>
      </c>
      <c r="M67" s="172">
        <v>1471.6</v>
      </c>
      <c r="N67" s="257">
        <f>6836.1-L67-J67</f>
        <v>1247.7000000000007</v>
      </c>
      <c r="O67" s="172">
        <v>50645.599999999999</v>
      </c>
      <c r="P67" s="172"/>
      <c r="Q67" s="142"/>
      <c r="R67" s="243">
        <f t="shared" si="1"/>
        <v>57360</v>
      </c>
      <c r="S67" s="243">
        <f t="shared" si="5"/>
        <v>6836.1</v>
      </c>
      <c r="T67" s="47"/>
    </row>
    <row r="68" spans="1:20" ht="384" customHeight="1" x14ac:dyDescent="0.25">
      <c r="A68" s="126"/>
      <c r="B68" s="142" t="s">
        <v>257</v>
      </c>
      <c r="C68" s="116"/>
      <c r="D68" s="142" t="s">
        <v>258</v>
      </c>
      <c r="E68" s="140"/>
      <c r="F68" s="140">
        <v>44561</v>
      </c>
      <c r="G68" s="140"/>
      <c r="H68" s="117"/>
      <c r="I68" s="165"/>
      <c r="J68" s="165"/>
      <c r="K68" s="172"/>
      <c r="L68" s="179"/>
      <c r="M68" s="114"/>
      <c r="N68" s="257"/>
      <c r="O68" s="114"/>
      <c r="P68" s="172"/>
      <c r="Q68" s="142"/>
      <c r="R68" s="243"/>
      <c r="S68" s="243"/>
      <c r="T68" s="47"/>
    </row>
    <row r="69" spans="1:20" ht="384" customHeight="1" x14ac:dyDescent="0.25">
      <c r="A69" s="126"/>
      <c r="B69" s="142" t="s">
        <v>207</v>
      </c>
      <c r="C69" s="116"/>
      <c r="D69" s="142" t="s">
        <v>434</v>
      </c>
      <c r="E69" s="140"/>
      <c r="F69" s="140">
        <v>44561</v>
      </c>
      <c r="G69" s="140"/>
      <c r="H69" s="117"/>
      <c r="I69" s="165"/>
      <c r="J69" s="165"/>
      <c r="K69" s="172"/>
      <c r="L69" s="179"/>
      <c r="M69" s="172"/>
      <c r="N69" s="257"/>
      <c r="O69" s="172"/>
      <c r="P69" s="172"/>
      <c r="Q69" s="142"/>
      <c r="R69" s="243"/>
      <c r="S69" s="243"/>
      <c r="T69" s="47"/>
    </row>
    <row r="70" spans="1:20" s="219" customFormat="1" ht="20.25" customHeight="1" x14ac:dyDescent="0.25">
      <c r="A70" s="294" t="s">
        <v>71</v>
      </c>
      <c r="B70" s="411" t="s">
        <v>208</v>
      </c>
      <c r="C70" s="411"/>
      <c r="D70" s="411"/>
      <c r="E70" s="411"/>
      <c r="F70" s="411"/>
      <c r="G70" s="411"/>
      <c r="H70" s="411"/>
      <c r="I70" s="114">
        <f>I71+I75+I82+I84+I86+I87+I88+I90+I85+I93+I91+0.1</f>
        <v>2257820.5</v>
      </c>
      <c r="J70" s="114">
        <f t="shared" ref="J70:P70" si="7">J71+J75+J82+J84+J86+J87+J88+J90+J85+J93+J91</f>
        <v>2260642.7999999998</v>
      </c>
      <c r="K70" s="114">
        <f>K71+K75+K82+K84+K86+K87+K88+K90+K85+K93+K91-0.1</f>
        <v>3289929.6</v>
      </c>
      <c r="L70" s="114">
        <f>L71+L75+L82+L84+L86+L87+L88+L90+L85+L93+L91</f>
        <v>3329683.3</v>
      </c>
      <c r="M70" s="114">
        <v>3384223.2</v>
      </c>
      <c r="N70" s="114">
        <f t="shared" si="7"/>
        <v>3392921.0000000005</v>
      </c>
      <c r="O70" s="114">
        <v>3507354.8</v>
      </c>
      <c r="P70" s="114">
        <f t="shared" si="7"/>
        <v>0</v>
      </c>
      <c r="Q70" s="288"/>
      <c r="R70" s="243">
        <f t="shared" si="1"/>
        <v>12439328.100000001</v>
      </c>
      <c r="S70" s="243">
        <f t="shared" si="5"/>
        <v>8983247.1000000015</v>
      </c>
      <c r="T70" s="218"/>
    </row>
    <row r="71" spans="1:20" ht="378.75" customHeight="1" x14ac:dyDescent="0.25">
      <c r="A71" s="115" t="s">
        <v>73</v>
      </c>
      <c r="B71" s="142" t="s">
        <v>74</v>
      </c>
      <c r="C71" s="116"/>
      <c r="D71" s="142" t="s">
        <v>391</v>
      </c>
      <c r="E71" s="140"/>
      <c r="F71" s="140"/>
      <c r="G71" s="140"/>
      <c r="H71" s="140"/>
      <c r="I71" s="165">
        <v>1471.1</v>
      </c>
      <c r="J71" s="165">
        <v>1457.6</v>
      </c>
      <c r="K71" s="172">
        <v>2697.5</v>
      </c>
      <c r="L71" s="179">
        <f>4369.2-J71</f>
        <v>2911.6</v>
      </c>
      <c r="M71" s="172">
        <v>2426.3000000000002</v>
      </c>
      <c r="N71" s="257">
        <f>6860.5-L71-J71</f>
        <v>2491.3000000000002</v>
      </c>
      <c r="O71" s="172">
        <v>5865.8</v>
      </c>
      <c r="P71" s="172"/>
      <c r="Q71" s="142"/>
      <c r="R71" s="243">
        <f t="shared" si="1"/>
        <v>12460.7</v>
      </c>
      <c r="S71" s="243">
        <f t="shared" si="5"/>
        <v>6860.5</v>
      </c>
      <c r="T71" s="47"/>
    </row>
    <row r="72" spans="1:20" ht="29.25" customHeight="1" x14ac:dyDescent="0.25">
      <c r="A72" s="115" t="s">
        <v>26</v>
      </c>
      <c r="B72" s="142" t="s">
        <v>75</v>
      </c>
      <c r="C72" s="116"/>
      <c r="D72" s="116" t="s">
        <v>24</v>
      </c>
      <c r="E72" s="140">
        <v>44207</v>
      </c>
      <c r="F72" s="140">
        <v>44561</v>
      </c>
      <c r="G72" s="140">
        <v>44207</v>
      </c>
      <c r="H72" s="140"/>
      <c r="I72" s="165">
        <v>360.8</v>
      </c>
      <c r="J72" s="165">
        <v>347.3</v>
      </c>
      <c r="K72" s="172">
        <v>846.1</v>
      </c>
      <c r="L72" s="179">
        <f>1431.8-J72</f>
        <v>1084.5</v>
      </c>
      <c r="M72" s="172">
        <v>1151.3</v>
      </c>
      <c r="N72" s="257">
        <f>2623.8-L72-J72</f>
        <v>1192.0000000000002</v>
      </c>
      <c r="O72" s="172">
        <v>4949.8</v>
      </c>
      <c r="P72" s="172"/>
      <c r="Q72" s="142"/>
      <c r="R72" s="243">
        <f t="shared" si="1"/>
        <v>7308</v>
      </c>
      <c r="S72" s="243">
        <f t="shared" si="5"/>
        <v>2623.8</v>
      </c>
      <c r="T72" s="47"/>
    </row>
    <row r="73" spans="1:20" ht="81.75" customHeight="1" x14ac:dyDescent="0.25">
      <c r="A73" s="115" t="s">
        <v>32</v>
      </c>
      <c r="B73" s="132" t="s">
        <v>77</v>
      </c>
      <c r="C73" s="123"/>
      <c r="D73" s="116" t="s">
        <v>24</v>
      </c>
      <c r="E73" s="140">
        <v>44207</v>
      </c>
      <c r="F73" s="140">
        <v>44561</v>
      </c>
      <c r="G73" s="140">
        <v>43839</v>
      </c>
      <c r="H73" s="140"/>
      <c r="I73" s="165">
        <v>1110.3</v>
      </c>
      <c r="J73" s="165">
        <v>1110.3</v>
      </c>
      <c r="K73" s="172">
        <v>1851.4</v>
      </c>
      <c r="L73" s="179">
        <f>2937.4-J73</f>
        <v>1827.1000000000001</v>
      </c>
      <c r="M73" s="170">
        <v>1275</v>
      </c>
      <c r="N73" s="257">
        <f>4236.7-L73-J73</f>
        <v>1299.2999999999995</v>
      </c>
      <c r="O73" s="175">
        <v>916</v>
      </c>
      <c r="P73" s="172"/>
      <c r="Q73" s="142"/>
      <c r="R73" s="243">
        <f t="shared" si="1"/>
        <v>5152.7</v>
      </c>
      <c r="S73" s="243">
        <f t="shared" si="5"/>
        <v>4236.7</v>
      </c>
      <c r="T73" s="47"/>
    </row>
    <row r="74" spans="1:20" ht="168" customHeight="1" x14ac:dyDescent="0.25">
      <c r="A74" s="115" t="s">
        <v>259</v>
      </c>
      <c r="B74" s="142" t="s">
        <v>260</v>
      </c>
      <c r="C74" s="116"/>
      <c r="D74" s="116"/>
      <c r="E74" s="140"/>
      <c r="F74" s="140"/>
      <c r="G74" s="140"/>
      <c r="H74" s="140"/>
      <c r="I74" s="165"/>
      <c r="J74" s="165"/>
      <c r="K74" s="172"/>
      <c r="L74" s="179"/>
      <c r="M74" s="172"/>
      <c r="N74" s="257"/>
      <c r="O74" s="172"/>
      <c r="P74" s="172"/>
      <c r="Q74" s="142"/>
      <c r="R74" s="243"/>
      <c r="S74" s="243"/>
      <c r="T74" s="47"/>
    </row>
    <row r="75" spans="1:20" ht="408.75" customHeight="1" x14ac:dyDescent="0.25">
      <c r="A75" s="125" t="s">
        <v>78</v>
      </c>
      <c r="B75" s="137" t="s">
        <v>209</v>
      </c>
      <c r="C75" s="122"/>
      <c r="D75" s="137" t="s">
        <v>419</v>
      </c>
      <c r="E75" s="134">
        <v>44207</v>
      </c>
      <c r="F75" s="134">
        <v>44561</v>
      </c>
      <c r="G75" s="134">
        <v>44207</v>
      </c>
      <c r="H75" s="138"/>
      <c r="I75" s="163">
        <v>2251924.4</v>
      </c>
      <c r="J75" s="163">
        <v>2254760.2999999998</v>
      </c>
      <c r="K75" s="170">
        <v>3268721.1</v>
      </c>
      <c r="L75" s="181">
        <f>5562988.6-J75</f>
        <v>3308228.3</v>
      </c>
      <c r="M75" s="169">
        <v>3374856.6</v>
      </c>
      <c r="N75" s="256">
        <f>8946478-L75-J75</f>
        <v>3383489.4000000004</v>
      </c>
      <c r="O75" s="75">
        <v>3459016.3</v>
      </c>
      <c r="P75" s="170"/>
      <c r="Q75" s="137"/>
      <c r="R75" s="243">
        <f t="shared" ref="R75:R119" si="8">I75+K75+M75+O75</f>
        <v>12354518.399999999</v>
      </c>
      <c r="S75" s="243">
        <f t="shared" si="5"/>
        <v>8946478</v>
      </c>
      <c r="T75" s="47"/>
    </row>
    <row r="76" spans="1:20" ht="27.75" customHeight="1" x14ac:dyDescent="0.25">
      <c r="A76" s="115" t="s">
        <v>80</v>
      </c>
      <c r="B76" s="142" t="s">
        <v>81</v>
      </c>
      <c r="C76" s="116"/>
      <c r="D76" s="116" t="s">
        <v>24</v>
      </c>
      <c r="E76" s="140">
        <v>44207</v>
      </c>
      <c r="F76" s="140">
        <v>44561</v>
      </c>
      <c r="G76" s="140">
        <v>44207</v>
      </c>
      <c r="H76" s="140"/>
      <c r="I76" s="165">
        <v>146025.1</v>
      </c>
      <c r="J76" s="165">
        <v>148861</v>
      </c>
      <c r="K76" s="172">
        <v>357942.7</v>
      </c>
      <c r="L76" s="179">
        <f>542572.8-J76</f>
        <v>393711.80000000005</v>
      </c>
      <c r="M76" s="169">
        <v>466232.2</v>
      </c>
      <c r="N76" s="257">
        <f>1021175.9-L76-J76</f>
        <v>478603.1</v>
      </c>
      <c r="O76" s="75">
        <v>779426.8</v>
      </c>
      <c r="P76" s="172"/>
      <c r="Q76" s="142"/>
      <c r="R76" s="243">
        <f t="shared" si="8"/>
        <v>1749626.8</v>
      </c>
      <c r="S76" s="243">
        <f t="shared" si="5"/>
        <v>1021175.9</v>
      </c>
      <c r="T76" s="47"/>
    </row>
    <row r="77" spans="1:20" ht="79.5" customHeight="1" x14ac:dyDescent="0.25">
      <c r="A77" s="115" t="s">
        <v>83</v>
      </c>
      <c r="B77" s="131" t="s">
        <v>84</v>
      </c>
      <c r="C77" s="121"/>
      <c r="D77" s="121" t="s">
        <v>24</v>
      </c>
      <c r="E77" s="140">
        <v>44207</v>
      </c>
      <c r="F77" s="140">
        <v>44561</v>
      </c>
      <c r="G77" s="140">
        <v>44207</v>
      </c>
      <c r="H77" s="133"/>
      <c r="I77" s="162">
        <v>2105899.2999999998</v>
      </c>
      <c r="J77" s="162">
        <v>2105899.2999999998</v>
      </c>
      <c r="K77" s="169">
        <v>2910778.4</v>
      </c>
      <c r="L77" s="180">
        <f>5020415.8-J77</f>
        <v>2914516.5</v>
      </c>
      <c r="M77" s="172">
        <v>2908624.4</v>
      </c>
      <c r="N77" s="257">
        <f>7925302.1-L77-J77</f>
        <v>2904886.3</v>
      </c>
      <c r="O77" s="172">
        <v>2679589.5</v>
      </c>
      <c r="P77" s="172"/>
      <c r="Q77" s="142"/>
      <c r="R77" s="243">
        <f t="shared" si="8"/>
        <v>10604891.6</v>
      </c>
      <c r="S77" s="243">
        <f t="shared" si="5"/>
        <v>7925302.0999999996</v>
      </c>
      <c r="T77" s="47"/>
    </row>
    <row r="78" spans="1:20" ht="60" customHeight="1" x14ac:dyDescent="0.25">
      <c r="A78" s="80" t="s">
        <v>85</v>
      </c>
      <c r="B78" s="131" t="s">
        <v>86</v>
      </c>
      <c r="C78" s="121"/>
      <c r="D78" s="121" t="s">
        <v>24</v>
      </c>
      <c r="E78" s="140">
        <v>44207</v>
      </c>
      <c r="F78" s="140">
        <v>44561</v>
      </c>
      <c r="G78" s="140">
        <v>44207</v>
      </c>
      <c r="H78" s="133"/>
      <c r="I78" s="162">
        <v>2093293</v>
      </c>
      <c r="J78" s="162">
        <v>2093293</v>
      </c>
      <c r="K78" s="169">
        <v>2870932.6</v>
      </c>
      <c r="L78" s="180">
        <f>4964225.6-J78</f>
        <v>2870932.5999999996</v>
      </c>
      <c r="M78" s="172">
        <v>2861289.8</v>
      </c>
      <c r="N78" s="255">
        <f>7825515.4-L78-J78</f>
        <v>2861289.8000000007</v>
      </c>
      <c r="O78" s="172">
        <v>2659176.2000000002</v>
      </c>
      <c r="P78" s="169"/>
      <c r="Q78" s="131"/>
      <c r="R78" s="243">
        <f t="shared" si="8"/>
        <v>10484691.6</v>
      </c>
      <c r="S78" s="243">
        <f t="shared" ref="S78:S140" si="9">P78+N78+L78+J78</f>
        <v>7825515.4000000004</v>
      </c>
      <c r="T78" s="47"/>
    </row>
    <row r="79" spans="1:20" ht="37.5" x14ac:dyDescent="0.25">
      <c r="A79" s="81" t="s">
        <v>87</v>
      </c>
      <c r="B79" s="198" t="s">
        <v>88</v>
      </c>
      <c r="C79" s="116"/>
      <c r="D79" s="116" t="s">
        <v>24</v>
      </c>
      <c r="E79" s="197">
        <v>44207</v>
      </c>
      <c r="F79" s="197">
        <v>44561</v>
      </c>
      <c r="G79" s="197">
        <v>44207</v>
      </c>
      <c r="H79" s="197"/>
      <c r="I79" s="196">
        <v>4717.5</v>
      </c>
      <c r="J79" s="196">
        <v>4717.5</v>
      </c>
      <c r="K79" s="196">
        <v>34517.1</v>
      </c>
      <c r="L79" s="196">
        <f>42972.7-J79</f>
        <v>38255.199999999997</v>
      </c>
      <c r="M79" s="196">
        <v>44111.6</v>
      </c>
      <c r="N79" s="257">
        <f>83346.2-L79-J79</f>
        <v>40373.5</v>
      </c>
      <c r="O79" s="196">
        <v>11308.1</v>
      </c>
      <c r="P79" s="196"/>
      <c r="Q79" s="198"/>
      <c r="R79" s="243">
        <f t="shared" si="8"/>
        <v>94654.3</v>
      </c>
      <c r="S79" s="243">
        <f t="shared" si="9"/>
        <v>83346.2</v>
      </c>
      <c r="T79" s="47"/>
    </row>
    <row r="80" spans="1:20" ht="258.75" customHeight="1" x14ac:dyDescent="0.25">
      <c r="A80" s="81" t="s">
        <v>89</v>
      </c>
      <c r="B80" s="142" t="s">
        <v>319</v>
      </c>
      <c r="C80" s="116"/>
      <c r="D80" s="116" t="s">
        <v>24</v>
      </c>
      <c r="E80" s="140">
        <v>44207</v>
      </c>
      <c r="F80" s="140">
        <v>44561</v>
      </c>
      <c r="G80" s="140">
        <v>44207</v>
      </c>
      <c r="H80" s="140"/>
      <c r="I80" s="165">
        <v>7888.8</v>
      </c>
      <c r="J80" s="165">
        <v>7888.8</v>
      </c>
      <c r="K80" s="172">
        <v>5328.7</v>
      </c>
      <c r="L80" s="179">
        <f>13217.5-J80</f>
        <v>5328.7</v>
      </c>
      <c r="M80" s="172">
        <v>3223</v>
      </c>
      <c r="N80" s="255">
        <f>16440.5-L80-J80</f>
        <v>3222.9999999999991</v>
      </c>
      <c r="O80" s="172">
        <v>9105.2000000000007</v>
      </c>
      <c r="P80" s="172"/>
      <c r="Q80" s="142"/>
      <c r="R80" s="243">
        <f t="shared" si="8"/>
        <v>25545.7</v>
      </c>
      <c r="S80" s="243">
        <f t="shared" si="9"/>
        <v>16440.5</v>
      </c>
      <c r="T80" s="47"/>
    </row>
    <row r="81" spans="1:20" ht="118.5" customHeight="1" x14ac:dyDescent="0.25">
      <c r="A81" s="80" t="s">
        <v>261</v>
      </c>
      <c r="B81" s="131" t="s">
        <v>262</v>
      </c>
      <c r="C81" s="121"/>
      <c r="D81" s="121"/>
      <c r="E81" s="133"/>
      <c r="F81" s="133"/>
      <c r="G81" s="133"/>
      <c r="H81" s="133"/>
      <c r="I81" s="162"/>
      <c r="J81" s="162"/>
      <c r="K81" s="169"/>
      <c r="L81" s="180"/>
      <c r="M81" s="172"/>
      <c r="N81" s="255"/>
      <c r="O81" s="172"/>
      <c r="P81" s="169"/>
      <c r="Q81" s="131"/>
      <c r="R81" s="243"/>
      <c r="S81" s="243"/>
      <c r="T81" s="47"/>
    </row>
    <row r="82" spans="1:20" ht="409.5" customHeight="1" x14ac:dyDescent="0.25">
      <c r="A82" s="380" t="s">
        <v>41</v>
      </c>
      <c r="B82" s="375" t="s">
        <v>320</v>
      </c>
      <c r="C82" s="406"/>
      <c r="D82" s="375" t="s">
        <v>392</v>
      </c>
      <c r="E82" s="377">
        <v>44378</v>
      </c>
      <c r="F82" s="377">
        <v>44561</v>
      </c>
      <c r="G82" s="377">
        <v>44378</v>
      </c>
      <c r="H82" s="377"/>
      <c r="I82" s="373">
        <v>0</v>
      </c>
      <c r="J82" s="373">
        <v>0</v>
      </c>
      <c r="K82" s="373">
        <v>0</v>
      </c>
      <c r="L82" s="373">
        <v>0</v>
      </c>
      <c r="M82" s="372">
        <v>1633.6</v>
      </c>
      <c r="N82" s="373">
        <f>1633.6</f>
        <v>1633.6</v>
      </c>
      <c r="O82" s="409">
        <v>0</v>
      </c>
      <c r="P82" s="373"/>
      <c r="Q82" s="375"/>
      <c r="R82" s="446">
        <f t="shared" si="8"/>
        <v>1633.6</v>
      </c>
      <c r="S82" s="446">
        <f t="shared" si="9"/>
        <v>1633.6</v>
      </c>
      <c r="T82" s="47"/>
    </row>
    <row r="83" spans="1:20" ht="40.5" customHeight="1" x14ac:dyDescent="0.25">
      <c r="A83" s="382"/>
      <c r="B83" s="376"/>
      <c r="C83" s="407"/>
      <c r="D83" s="376"/>
      <c r="E83" s="413"/>
      <c r="F83" s="379"/>
      <c r="G83" s="413"/>
      <c r="H83" s="379"/>
      <c r="I83" s="374"/>
      <c r="J83" s="374"/>
      <c r="K83" s="374"/>
      <c r="L83" s="374"/>
      <c r="M83" s="372"/>
      <c r="N83" s="374"/>
      <c r="O83" s="409"/>
      <c r="P83" s="374"/>
      <c r="Q83" s="376"/>
      <c r="R83" s="447"/>
      <c r="S83" s="447"/>
      <c r="T83" s="47"/>
    </row>
    <row r="84" spans="1:20" ht="303.75" customHeight="1" x14ac:dyDescent="0.25">
      <c r="A84" s="115" t="s">
        <v>43</v>
      </c>
      <c r="B84" s="142" t="s">
        <v>321</v>
      </c>
      <c r="C84" s="116"/>
      <c r="D84" s="142" t="s">
        <v>393</v>
      </c>
      <c r="E84" s="140">
        <v>44287</v>
      </c>
      <c r="F84" s="140">
        <v>44377</v>
      </c>
      <c r="G84" s="140">
        <v>44287</v>
      </c>
      <c r="H84" s="140"/>
      <c r="I84" s="165">
        <v>0</v>
      </c>
      <c r="J84" s="165">
        <v>0</v>
      </c>
      <c r="K84" s="172">
        <v>12262.9</v>
      </c>
      <c r="L84" s="179">
        <v>12262.9</v>
      </c>
      <c r="M84" s="171">
        <v>0</v>
      </c>
      <c r="N84" s="257">
        <v>0</v>
      </c>
      <c r="O84" s="176">
        <v>0</v>
      </c>
      <c r="P84" s="172"/>
      <c r="Q84" s="142"/>
      <c r="R84" s="243">
        <f t="shared" si="8"/>
        <v>12262.9</v>
      </c>
      <c r="S84" s="243">
        <f t="shared" si="9"/>
        <v>12262.9</v>
      </c>
      <c r="T84" s="47"/>
    </row>
    <row r="85" spans="1:20" ht="261.75" customHeight="1" x14ac:dyDescent="0.25">
      <c r="A85" s="115" t="s">
        <v>91</v>
      </c>
      <c r="B85" s="198" t="s">
        <v>210</v>
      </c>
      <c r="C85" s="116"/>
      <c r="D85" s="198" t="s">
        <v>393</v>
      </c>
      <c r="E85" s="197">
        <v>44287</v>
      </c>
      <c r="F85" s="197">
        <v>44377</v>
      </c>
      <c r="G85" s="197">
        <v>44287</v>
      </c>
      <c r="H85" s="197"/>
      <c r="I85" s="196">
        <v>0</v>
      </c>
      <c r="J85" s="196">
        <v>0</v>
      </c>
      <c r="K85" s="196">
        <v>1260</v>
      </c>
      <c r="L85" s="196">
        <v>1260</v>
      </c>
      <c r="M85" s="196">
        <v>0</v>
      </c>
      <c r="N85" s="257">
        <v>0</v>
      </c>
      <c r="O85" s="196">
        <v>0</v>
      </c>
      <c r="P85" s="196"/>
      <c r="Q85" s="198"/>
      <c r="R85" s="243">
        <f t="shared" si="8"/>
        <v>1260</v>
      </c>
      <c r="S85" s="243">
        <f t="shared" si="9"/>
        <v>1260</v>
      </c>
      <c r="T85" s="47"/>
    </row>
    <row r="86" spans="1:20" ht="243" customHeight="1" x14ac:dyDescent="0.25">
      <c r="A86" s="115" t="s">
        <v>93</v>
      </c>
      <c r="B86" s="198" t="s">
        <v>323</v>
      </c>
      <c r="C86" s="116"/>
      <c r="D86" s="198" t="s">
        <v>393</v>
      </c>
      <c r="E86" s="197">
        <v>44378</v>
      </c>
      <c r="F86" s="197">
        <v>44469</v>
      </c>
      <c r="G86" s="197">
        <v>44378</v>
      </c>
      <c r="H86" s="197"/>
      <c r="I86" s="196">
        <v>0</v>
      </c>
      <c r="J86" s="196">
        <v>0</v>
      </c>
      <c r="K86" s="196">
        <v>0</v>
      </c>
      <c r="L86" s="196">
        <v>0</v>
      </c>
      <c r="M86" s="196">
        <v>700</v>
      </c>
      <c r="N86" s="257">
        <v>700</v>
      </c>
      <c r="O86" s="196">
        <v>0</v>
      </c>
      <c r="P86" s="196"/>
      <c r="Q86" s="198"/>
      <c r="R86" s="243">
        <f t="shared" si="8"/>
        <v>700</v>
      </c>
      <c r="S86" s="243">
        <f t="shared" si="9"/>
        <v>700</v>
      </c>
      <c r="T86" s="47"/>
    </row>
    <row r="87" spans="1:20" ht="165" customHeight="1" x14ac:dyDescent="0.25">
      <c r="A87" s="115" t="s">
        <v>94</v>
      </c>
      <c r="B87" s="142" t="s">
        <v>324</v>
      </c>
      <c r="C87" s="116"/>
      <c r="D87" s="194" t="s">
        <v>393</v>
      </c>
      <c r="E87" s="140">
        <v>44207</v>
      </c>
      <c r="F87" s="140">
        <v>44561</v>
      </c>
      <c r="G87" s="140">
        <v>44207</v>
      </c>
      <c r="H87" s="140"/>
      <c r="I87" s="165">
        <v>4101.8</v>
      </c>
      <c r="J87" s="165">
        <v>4101.8</v>
      </c>
      <c r="K87" s="172">
        <v>3988.2</v>
      </c>
      <c r="L87" s="179">
        <f>8090-J87</f>
        <v>3988.2</v>
      </c>
      <c r="M87" s="172">
        <v>4068.5</v>
      </c>
      <c r="N87" s="257">
        <f>12158.5-L87-J87</f>
        <v>4068.5</v>
      </c>
      <c r="O87" s="172">
        <v>4307.2</v>
      </c>
      <c r="P87" s="172"/>
      <c r="Q87" s="142"/>
      <c r="R87" s="243">
        <f t="shared" si="8"/>
        <v>16465.7</v>
      </c>
      <c r="S87" s="243">
        <f t="shared" si="9"/>
        <v>12158.5</v>
      </c>
      <c r="T87" s="47"/>
    </row>
    <row r="88" spans="1:20" ht="365.25" customHeight="1" x14ac:dyDescent="0.25">
      <c r="A88" s="380" t="s">
        <v>95</v>
      </c>
      <c r="B88" s="375" t="s">
        <v>325</v>
      </c>
      <c r="C88" s="406"/>
      <c r="D88" s="375" t="s">
        <v>393</v>
      </c>
      <c r="E88" s="377">
        <v>44287</v>
      </c>
      <c r="F88" s="377">
        <v>44377</v>
      </c>
      <c r="G88" s="377">
        <v>44287</v>
      </c>
      <c r="H88" s="377"/>
      <c r="I88" s="373">
        <v>0</v>
      </c>
      <c r="J88" s="373">
        <v>0</v>
      </c>
      <c r="K88" s="373">
        <v>1000</v>
      </c>
      <c r="L88" s="373">
        <v>1000</v>
      </c>
      <c r="M88" s="372">
        <v>0</v>
      </c>
      <c r="N88" s="373">
        <v>0</v>
      </c>
      <c r="O88" s="409">
        <v>0</v>
      </c>
      <c r="P88" s="373"/>
      <c r="Q88" s="375"/>
      <c r="R88" s="446">
        <f t="shared" si="8"/>
        <v>1000</v>
      </c>
      <c r="S88" s="446">
        <f t="shared" si="9"/>
        <v>1000</v>
      </c>
      <c r="T88" s="47"/>
    </row>
    <row r="89" spans="1:20" ht="18.75" customHeight="1" x14ac:dyDescent="0.25">
      <c r="A89" s="382"/>
      <c r="B89" s="376"/>
      <c r="C89" s="407"/>
      <c r="D89" s="376"/>
      <c r="E89" s="379"/>
      <c r="F89" s="379"/>
      <c r="G89" s="379"/>
      <c r="H89" s="379"/>
      <c r="I89" s="374"/>
      <c r="J89" s="374"/>
      <c r="K89" s="374"/>
      <c r="L89" s="374"/>
      <c r="M89" s="372"/>
      <c r="N89" s="374"/>
      <c r="O89" s="409"/>
      <c r="P89" s="374"/>
      <c r="Q89" s="376"/>
      <c r="R89" s="447"/>
      <c r="S89" s="447"/>
      <c r="T89" s="47"/>
    </row>
    <row r="90" spans="1:20" ht="375" x14ac:dyDescent="0.25">
      <c r="A90" s="115" t="s">
        <v>97</v>
      </c>
      <c r="B90" s="142" t="s">
        <v>351</v>
      </c>
      <c r="C90" s="116">
        <v>1</v>
      </c>
      <c r="D90" s="142" t="s">
        <v>394</v>
      </c>
      <c r="E90" s="140">
        <v>44378</v>
      </c>
      <c r="F90" s="140">
        <v>44377</v>
      </c>
      <c r="G90" s="140">
        <v>44378</v>
      </c>
      <c r="H90" s="140"/>
      <c r="I90" s="165">
        <v>0</v>
      </c>
      <c r="J90" s="165">
        <v>0</v>
      </c>
      <c r="K90" s="172">
        <v>0</v>
      </c>
      <c r="L90" s="179">
        <v>0</v>
      </c>
      <c r="M90" s="172">
        <v>0</v>
      </c>
      <c r="N90" s="257">
        <v>0</v>
      </c>
      <c r="O90" s="174">
        <v>5960</v>
      </c>
      <c r="P90" s="172"/>
      <c r="Q90" s="142"/>
      <c r="R90" s="243">
        <f t="shared" si="8"/>
        <v>5960</v>
      </c>
      <c r="S90" s="243">
        <f t="shared" si="9"/>
        <v>0</v>
      </c>
      <c r="T90" s="47"/>
    </row>
    <row r="91" spans="1:20" ht="206.25" x14ac:dyDescent="0.25">
      <c r="A91" s="115" t="s">
        <v>211</v>
      </c>
      <c r="B91" s="198" t="s">
        <v>352</v>
      </c>
      <c r="C91" s="116"/>
      <c r="D91" s="198" t="s">
        <v>275</v>
      </c>
      <c r="E91" s="197">
        <v>44470</v>
      </c>
      <c r="F91" s="197">
        <v>44561</v>
      </c>
      <c r="G91" s="197">
        <v>44470</v>
      </c>
      <c r="H91" s="197"/>
      <c r="I91" s="196">
        <v>0</v>
      </c>
      <c r="J91" s="196">
        <v>0</v>
      </c>
      <c r="K91" s="196">
        <v>0</v>
      </c>
      <c r="L91" s="282">
        <v>32.299999999999997</v>
      </c>
      <c r="M91" s="282">
        <v>32.299999999999997</v>
      </c>
      <c r="N91" s="257">
        <v>0</v>
      </c>
      <c r="O91" s="200">
        <v>6967.7</v>
      </c>
      <c r="P91" s="200">
        <v>0</v>
      </c>
      <c r="Q91" s="198"/>
      <c r="R91" s="243">
        <f t="shared" si="8"/>
        <v>7000</v>
      </c>
      <c r="S91" s="243">
        <f t="shared" si="9"/>
        <v>32.299999999999997</v>
      </c>
      <c r="T91" s="47"/>
    </row>
    <row r="92" spans="1:20" ht="236.25" customHeight="1" x14ac:dyDescent="0.25">
      <c r="A92" s="115" t="s">
        <v>44</v>
      </c>
      <c r="B92" s="198" t="s">
        <v>263</v>
      </c>
      <c r="C92" s="116"/>
      <c r="D92" s="198"/>
      <c r="E92" s="197"/>
      <c r="F92" s="197"/>
      <c r="G92" s="197"/>
      <c r="H92" s="197"/>
      <c r="I92" s="196"/>
      <c r="J92" s="196"/>
      <c r="K92" s="196"/>
      <c r="L92" s="196"/>
      <c r="M92" s="196"/>
      <c r="N92" s="257"/>
      <c r="O92" s="196"/>
      <c r="P92" s="196"/>
      <c r="Q92" s="198"/>
      <c r="R92" s="243">
        <f t="shared" si="8"/>
        <v>0</v>
      </c>
      <c r="S92" s="243">
        <f t="shared" si="9"/>
        <v>0</v>
      </c>
      <c r="T92" s="47"/>
    </row>
    <row r="93" spans="1:20" s="219" customFormat="1" ht="299.25" customHeight="1" x14ac:dyDescent="0.25">
      <c r="A93" s="234" t="s">
        <v>45</v>
      </c>
      <c r="B93" s="232" t="s">
        <v>326</v>
      </c>
      <c r="C93" s="235"/>
      <c r="D93" s="232" t="s">
        <v>442</v>
      </c>
      <c r="E93" s="233">
        <v>11</v>
      </c>
      <c r="F93" s="233">
        <v>44561</v>
      </c>
      <c r="G93" s="233">
        <v>44207</v>
      </c>
      <c r="H93" s="117"/>
      <c r="I93" s="231">
        <v>323.10000000000002</v>
      </c>
      <c r="J93" s="231">
        <v>323.10000000000002</v>
      </c>
      <c r="K93" s="231">
        <v>0</v>
      </c>
      <c r="L93" s="231">
        <v>0</v>
      </c>
      <c r="M93" s="231">
        <v>0</v>
      </c>
      <c r="N93" s="256">
        <f>861.3-J93</f>
        <v>538.19999999999993</v>
      </c>
      <c r="O93" s="231">
        <v>25205.5</v>
      </c>
      <c r="P93" s="231"/>
      <c r="Q93" s="232"/>
      <c r="R93" s="243">
        <f t="shared" si="8"/>
        <v>25528.6</v>
      </c>
      <c r="S93" s="243">
        <f t="shared" si="9"/>
        <v>861.3</v>
      </c>
      <c r="T93" s="218"/>
    </row>
    <row r="94" spans="1:20" ht="256.5" customHeight="1" x14ac:dyDescent="0.25">
      <c r="A94" s="115"/>
      <c r="B94" s="142" t="s">
        <v>264</v>
      </c>
      <c r="C94" s="116">
        <v>1</v>
      </c>
      <c r="D94" s="142" t="s">
        <v>395</v>
      </c>
      <c r="E94" s="117" t="s">
        <v>24</v>
      </c>
      <c r="F94" s="140">
        <v>44561</v>
      </c>
      <c r="G94" s="117" t="s">
        <v>24</v>
      </c>
      <c r="H94" s="140"/>
      <c r="I94" s="165" t="s">
        <v>24</v>
      </c>
      <c r="J94" s="165" t="s">
        <v>24</v>
      </c>
      <c r="K94" s="172" t="s">
        <v>24</v>
      </c>
      <c r="L94" s="179" t="s">
        <v>24</v>
      </c>
      <c r="M94" s="172" t="s">
        <v>24</v>
      </c>
      <c r="N94" s="257" t="s">
        <v>24</v>
      </c>
      <c r="O94" s="172" t="s">
        <v>24</v>
      </c>
      <c r="P94" s="172" t="s">
        <v>24</v>
      </c>
      <c r="Q94" s="141"/>
      <c r="R94" s="243" t="e">
        <f t="shared" si="8"/>
        <v>#VALUE!</v>
      </c>
      <c r="S94" s="243" t="e">
        <f t="shared" si="9"/>
        <v>#VALUE!</v>
      </c>
      <c r="T94" s="47"/>
    </row>
    <row r="95" spans="1:20" ht="199.5" customHeight="1" x14ac:dyDescent="0.25">
      <c r="A95" s="82"/>
      <c r="B95" s="67" t="s">
        <v>265</v>
      </c>
      <c r="C95" s="116" t="s">
        <v>24</v>
      </c>
      <c r="D95" s="142" t="s">
        <v>441</v>
      </c>
      <c r="E95" s="117" t="s">
        <v>24</v>
      </c>
      <c r="F95" s="140">
        <v>44561</v>
      </c>
      <c r="G95" s="117" t="s">
        <v>24</v>
      </c>
      <c r="H95" s="140"/>
      <c r="I95" s="165" t="s">
        <v>24</v>
      </c>
      <c r="J95" s="165" t="s">
        <v>24</v>
      </c>
      <c r="K95" s="172" t="s">
        <v>24</v>
      </c>
      <c r="L95" s="179" t="s">
        <v>24</v>
      </c>
      <c r="M95" s="69" t="s">
        <v>24</v>
      </c>
      <c r="N95" s="257" t="s">
        <v>24</v>
      </c>
      <c r="O95" s="69" t="s">
        <v>24</v>
      </c>
      <c r="P95" s="172" t="s">
        <v>24</v>
      </c>
      <c r="Q95" s="141"/>
      <c r="R95" s="243" t="e">
        <f t="shared" si="8"/>
        <v>#VALUE!</v>
      </c>
      <c r="S95" s="243" t="e">
        <f t="shared" si="9"/>
        <v>#VALUE!</v>
      </c>
      <c r="T95" s="47"/>
    </row>
    <row r="96" spans="1:20" ht="297" customHeight="1" x14ac:dyDescent="0.25">
      <c r="A96" s="115"/>
      <c r="B96" s="142" t="s">
        <v>266</v>
      </c>
      <c r="C96" s="116" t="s">
        <v>24</v>
      </c>
      <c r="D96" s="142" t="s">
        <v>392</v>
      </c>
      <c r="E96" s="117" t="s">
        <v>24</v>
      </c>
      <c r="F96" s="140">
        <v>44561</v>
      </c>
      <c r="G96" s="117" t="s">
        <v>24</v>
      </c>
      <c r="H96" s="140"/>
      <c r="I96" s="165" t="s">
        <v>24</v>
      </c>
      <c r="J96" s="165" t="s">
        <v>24</v>
      </c>
      <c r="K96" s="172" t="s">
        <v>24</v>
      </c>
      <c r="L96" s="179" t="s">
        <v>24</v>
      </c>
      <c r="M96" s="172" t="s">
        <v>24</v>
      </c>
      <c r="N96" s="257" t="s">
        <v>24</v>
      </c>
      <c r="O96" s="172" t="s">
        <v>24</v>
      </c>
      <c r="P96" s="172" t="s">
        <v>24</v>
      </c>
      <c r="Q96" s="141"/>
      <c r="R96" s="243" t="e">
        <f t="shared" si="8"/>
        <v>#VALUE!</v>
      </c>
      <c r="S96" s="243" t="e">
        <f t="shared" si="9"/>
        <v>#VALUE!</v>
      </c>
      <c r="T96" s="47"/>
    </row>
    <row r="97" spans="1:20" ht="33" customHeight="1" x14ac:dyDescent="0.25">
      <c r="A97" s="68" t="s">
        <v>212</v>
      </c>
      <c r="B97" s="411" t="s">
        <v>213</v>
      </c>
      <c r="C97" s="411"/>
      <c r="D97" s="411"/>
      <c r="E97" s="411"/>
      <c r="F97" s="411"/>
      <c r="G97" s="411"/>
      <c r="H97" s="411"/>
      <c r="I97" s="114">
        <f>I99+I101+I110+I112+I113+I115+I116+I119+I117+I122+I123+I124+I125+I129+I131+I133+I135+I136+I138+I140+I143+I146+I126+I120</f>
        <v>9488681.6000000015</v>
      </c>
      <c r="J97" s="114">
        <f>J99+J101+J110+J112+J113+J115+J116+J119+J117+J122+J123+J124+J125+J129+J131+J133+J135+J136+J138+J140+J143+J146+J126+J120</f>
        <v>9565328.4000000004</v>
      </c>
      <c r="K97" s="114">
        <f>K99+K101+K110+K112+K113+K115+K116+K119+K117+K122+K123+K124+K125+K129+K131+K133+K135+K136+K138+K140+K143+K146+K126+K120+K127</f>
        <v>10040956.9</v>
      </c>
      <c r="L97" s="114">
        <f>L99+L101+L110+L112+L113+L115+L116+L119+L117+L122+L123+L124+L125+L129+L131+L133+L135+L136+L138+L140+L143+L146+L126+L120+L127</f>
        <v>11013112</v>
      </c>
      <c r="M97" s="114">
        <f t="shared" ref="M97" si="10">M99+M101+M110+M112+M113+M115+M116+M119+M117+M122+M123+M124+M125+M129+M131+M133+M135+M136+M138+M140+M143+M146+M126+M120+M127</f>
        <v>9980242.8000000007</v>
      </c>
      <c r="N97" s="114">
        <f>N99+N101+N110+N112+N113+N115+N116+N119+N117+N122+N123+N124+N125+N129+N131+N133+N135+N136+N138+N140+N143+N146+N126+N120</f>
        <v>10865559.300000001</v>
      </c>
      <c r="O97" s="114">
        <f>O99+O101+O110+O112+O113+O115+O116+O119+O117+O122+O123+O124+O125+O129+O131+O133+O135+O136+O138+O140+O143+O146+O126+O120+O127</f>
        <v>14231671.700000003</v>
      </c>
      <c r="P97" s="114">
        <f>P99+P101+P110+P112+P113+P115+P116+P119+P117+P122+P123+P124+P125+P129+P131+P133+P135+P136+P138+P140+P143+P146+P126</f>
        <v>0</v>
      </c>
      <c r="Q97" s="196"/>
      <c r="R97" s="243">
        <f t="shared" si="8"/>
        <v>43741553</v>
      </c>
      <c r="S97" s="243">
        <f t="shared" si="9"/>
        <v>31443999.700000003</v>
      </c>
      <c r="T97" s="70"/>
    </row>
    <row r="98" spans="1:20" ht="240" customHeight="1" x14ac:dyDescent="0.25">
      <c r="A98" s="115" t="s">
        <v>73</v>
      </c>
      <c r="B98" s="71" t="s">
        <v>214</v>
      </c>
      <c r="C98" s="67"/>
      <c r="D98" s="116" t="s">
        <v>24</v>
      </c>
      <c r="E98" s="72"/>
      <c r="F98" s="72"/>
      <c r="G98" s="72"/>
      <c r="H98" s="72"/>
      <c r="I98" s="165"/>
      <c r="J98" s="165"/>
      <c r="K98" s="172"/>
      <c r="L98" s="179"/>
      <c r="M98" s="172"/>
      <c r="N98" s="257"/>
      <c r="O98" s="172"/>
      <c r="P98" s="172"/>
      <c r="Q98" s="142"/>
      <c r="R98" s="243"/>
      <c r="S98" s="243"/>
      <c r="T98" s="47"/>
    </row>
    <row r="99" spans="1:20" ht="368.25" customHeight="1" x14ac:dyDescent="0.25">
      <c r="A99" s="115" t="s">
        <v>32</v>
      </c>
      <c r="B99" s="142" t="s">
        <v>215</v>
      </c>
      <c r="C99" s="116"/>
      <c r="D99" s="142" t="s">
        <v>396</v>
      </c>
      <c r="E99" s="140">
        <v>44207</v>
      </c>
      <c r="F99" s="140">
        <v>44561</v>
      </c>
      <c r="G99" s="140">
        <v>44207</v>
      </c>
      <c r="H99" s="140"/>
      <c r="I99" s="165">
        <f t="shared" ref="I99:J99" si="11">I100</f>
        <v>453921.1</v>
      </c>
      <c r="J99" s="165">
        <f t="shared" si="11"/>
        <v>459637.7</v>
      </c>
      <c r="K99" s="172">
        <v>563460.69999999995</v>
      </c>
      <c r="L99" s="179">
        <f>1076092.2-J99</f>
        <v>616454.5</v>
      </c>
      <c r="M99" s="172">
        <v>596893.4</v>
      </c>
      <c r="N99" s="257">
        <f>1674115.4-L99-J99</f>
        <v>598023.19999999995</v>
      </c>
      <c r="O99" s="172">
        <v>927298.2</v>
      </c>
      <c r="P99" s="172"/>
      <c r="Q99" s="142"/>
      <c r="R99" s="243">
        <f t="shared" si="8"/>
        <v>2541573.4</v>
      </c>
      <c r="S99" s="243">
        <f t="shared" si="9"/>
        <v>1674115.4</v>
      </c>
      <c r="T99" s="47"/>
    </row>
    <row r="100" spans="1:20" ht="168.75" customHeight="1" x14ac:dyDescent="0.25">
      <c r="A100" s="116" t="s">
        <v>76</v>
      </c>
      <c r="B100" s="142" t="s">
        <v>81</v>
      </c>
      <c r="C100" s="116"/>
      <c r="D100" s="116" t="s">
        <v>24</v>
      </c>
      <c r="E100" s="140">
        <v>44207</v>
      </c>
      <c r="F100" s="140">
        <v>44561</v>
      </c>
      <c r="G100" s="140">
        <v>44207</v>
      </c>
      <c r="H100" s="140"/>
      <c r="I100" s="165">
        <v>453921.1</v>
      </c>
      <c r="J100" s="165">
        <v>459637.7</v>
      </c>
      <c r="K100" s="172">
        <v>563460.69999999995</v>
      </c>
      <c r="L100" s="179">
        <f>1076092.2-J100</f>
        <v>616454.5</v>
      </c>
      <c r="M100" s="172">
        <v>596893.4</v>
      </c>
      <c r="N100" s="257">
        <f>1674115.4-L100-J100</f>
        <v>598023.19999999995</v>
      </c>
      <c r="O100" s="172">
        <v>927298.2</v>
      </c>
      <c r="P100" s="172"/>
      <c r="Q100" s="142"/>
      <c r="R100" s="243">
        <f t="shared" si="8"/>
        <v>2541573.4</v>
      </c>
      <c r="S100" s="243">
        <f t="shared" si="9"/>
        <v>1674115.4</v>
      </c>
      <c r="T100" s="47"/>
    </row>
    <row r="101" spans="1:20" ht="270" customHeight="1" x14ac:dyDescent="0.25">
      <c r="A101" s="380" t="s">
        <v>33</v>
      </c>
      <c r="B101" s="375" t="s">
        <v>328</v>
      </c>
      <c r="C101" s="406"/>
      <c r="D101" s="375" t="s">
        <v>397</v>
      </c>
      <c r="E101" s="391">
        <v>44207</v>
      </c>
      <c r="F101" s="391">
        <v>44561</v>
      </c>
      <c r="G101" s="391">
        <v>44207</v>
      </c>
      <c r="H101" s="391"/>
      <c r="I101" s="372">
        <f t="shared" ref="I101:J101" si="12">I103+I104</f>
        <v>52312.999999999993</v>
      </c>
      <c r="J101" s="372">
        <f t="shared" si="12"/>
        <v>52534.299999999996</v>
      </c>
      <c r="K101" s="372">
        <v>68365</v>
      </c>
      <c r="L101" s="372">
        <f>122397.6-J101</f>
        <v>69863.300000000017</v>
      </c>
      <c r="M101" s="372">
        <v>115913.7</v>
      </c>
      <c r="N101" s="372">
        <f>238329.6-L101-J101</f>
        <v>115932</v>
      </c>
      <c r="O101" s="372">
        <v>88334</v>
      </c>
      <c r="P101" s="372"/>
      <c r="Q101" s="390"/>
      <c r="R101" s="446">
        <f t="shared" si="8"/>
        <v>324925.7</v>
      </c>
      <c r="S101" s="446">
        <f t="shared" si="9"/>
        <v>238329.60000000001</v>
      </c>
      <c r="T101" s="47"/>
    </row>
    <row r="102" spans="1:20" ht="240.75" customHeight="1" x14ac:dyDescent="0.25">
      <c r="A102" s="382"/>
      <c r="B102" s="376"/>
      <c r="C102" s="407"/>
      <c r="D102" s="376"/>
      <c r="E102" s="391"/>
      <c r="F102" s="391"/>
      <c r="G102" s="391"/>
      <c r="H102" s="391"/>
      <c r="I102" s="372"/>
      <c r="J102" s="372"/>
      <c r="K102" s="372"/>
      <c r="L102" s="372"/>
      <c r="M102" s="372"/>
      <c r="N102" s="372"/>
      <c r="O102" s="372"/>
      <c r="P102" s="372"/>
      <c r="Q102" s="390"/>
      <c r="R102" s="447"/>
      <c r="S102" s="447"/>
      <c r="T102" s="47"/>
    </row>
    <row r="103" spans="1:20" x14ac:dyDescent="0.25">
      <c r="A103" s="115" t="s">
        <v>101</v>
      </c>
      <c r="B103" s="142" t="s">
        <v>81</v>
      </c>
      <c r="C103" s="116"/>
      <c r="D103" s="116" t="s">
        <v>24</v>
      </c>
      <c r="E103" s="140">
        <v>44207</v>
      </c>
      <c r="F103" s="140">
        <v>44561</v>
      </c>
      <c r="G103" s="140">
        <v>44207</v>
      </c>
      <c r="H103" s="140"/>
      <c r="I103" s="165">
        <v>15184.6</v>
      </c>
      <c r="J103" s="165">
        <v>15405.9</v>
      </c>
      <c r="K103" s="172">
        <v>19657.599999999999</v>
      </c>
      <c r="L103" s="179">
        <f>36561.8-J103</f>
        <v>21155.9</v>
      </c>
      <c r="M103" s="170">
        <v>48959.8</v>
      </c>
      <c r="N103" s="257">
        <f>85539.9-L103-J103</f>
        <v>48978.099999999991</v>
      </c>
      <c r="O103" s="175">
        <v>49907.6</v>
      </c>
      <c r="P103" s="172"/>
      <c r="Q103" s="142"/>
      <c r="R103" s="243">
        <f t="shared" si="8"/>
        <v>133709.6</v>
      </c>
      <c r="S103" s="243">
        <f t="shared" si="9"/>
        <v>85539.9</v>
      </c>
      <c r="T103" s="47"/>
    </row>
    <row r="104" spans="1:20" ht="83.25" customHeight="1" x14ac:dyDescent="0.25">
      <c r="A104" s="115" t="s">
        <v>102</v>
      </c>
      <c r="B104" s="198" t="s">
        <v>103</v>
      </c>
      <c r="C104" s="116"/>
      <c r="D104" s="116" t="s">
        <v>24</v>
      </c>
      <c r="E104" s="197">
        <v>44207</v>
      </c>
      <c r="F104" s="197">
        <v>44561</v>
      </c>
      <c r="G104" s="197">
        <v>44207</v>
      </c>
      <c r="H104" s="197"/>
      <c r="I104" s="196">
        <f t="shared" ref="I104:J104" si="13">I105+I106+I107</f>
        <v>37128.399999999994</v>
      </c>
      <c r="J104" s="196">
        <f t="shared" si="13"/>
        <v>37128.399999999994</v>
      </c>
      <c r="K104" s="196">
        <v>48707.4</v>
      </c>
      <c r="L104" s="196">
        <f>85835.8-J104</f>
        <v>48707.400000000009</v>
      </c>
      <c r="M104" s="196">
        <v>66953.899999999994</v>
      </c>
      <c r="N104" s="257">
        <f>152789.7-L104-J104</f>
        <v>66953.900000000009</v>
      </c>
      <c r="O104" s="196">
        <v>38426.400000000001</v>
      </c>
      <c r="P104" s="196"/>
      <c r="Q104" s="198"/>
      <c r="R104" s="243">
        <f t="shared" si="8"/>
        <v>191216.09999999998</v>
      </c>
      <c r="S104" s="243">
        <f t="shared" si="9"/>
        <v>152789.70000000001</v>
      </c>
      <c r="T104" s="47"/>
    </row>
    <row r="105" spans="1:20" ht="93.75" x14ac:dyDescent="0.25">
      <c r="A105" s="115" t="s">
        <v>104</v>
      </c>
      <c r="B105" s="198" t="s">
        <v>86</v>
      </c>
      <c r="C105" s="116"/>
      <c r="D105" s="116" t="s">
        <v>24</v>
      </c>
      <c r="E105" s="197">
        <v>44207</v>
      </c>
      <c r="F105" s="197">
        <v>44561</v>
      </c>
      <c r="G105" s="197">
        <v>44207</v>
      </c>
      <c r="H105" s="197"/>
      <c r="I105" s="196">
        <v>36466.699999999997</v>
      </c>
      <c r="J105" s="196">
        <v>36466.699999999997</v>
      </c>
      <c r="K105" s="196">
        <v>46272.9</v>
      </c>
      <c r="L105" s="196">
        <f>82739.6-J105</f>
        <v>46272.900000000009</v>
      </c>
      <c r="M105" s="196">
        <v>64373.5</v>
      </c>
      <c r="N105" s="257">
        <f>147113.1-L105-J105</f>
        <v>64373.5</v>
      </c>
      <c r="O105" s="196">
        <v>37952.699999999997</v>
      </c>
      <c r="P105" s="196"/>
      <c r="Q105" s="198"/>
      <c r="R105" s="243">
        <f t="shared" si="8"/>
        <v>185065.8</v>
      </c>
      <c r="S105" s="243">
        <f t="shared" si="9"/>
        <v>147113.1</v>
      </c>
      <c r="T105" s="47"/>
    </row>
    <row r="106" spans="1:20" ht="48.75" customHeight="1" x14ac:dyDescent="0.25">
      <c r="A106" s="115" t="s">
        <v>105</v>
      </c>
      <c r="B106" s="142" t="s">
        <v>88</v>
      </c>
      <c r="C106" s="116"/>
      <c r="D106" s="116" t="s">
        <v>24</v>
      </c>
      <c r="E106" s="140">
        <v>44287</v>
      </c>
      <c r="F106" s="140">
        <v>44469</v>
      </c>
      <c r="G106" s="140">
        <v>44287</v>
      </c>
      <c r="H106" s="140"/>
      <c r="I106" s="165">
        <v>0</v>
      </c>
      <c r="J106" s="165">
        <v>0</v>
      </c>
      <c r="K106" s="172">
        <v>2300</v>
      </c>
      <c r="L106" s="179">
        <v>2300</v>
      </c>
      <c r="M106" s="172">
        <v>2500</v>
      </c>
      <c r="N106" s="257">
        <f>4800-L106-J106</f>
        <v>2500</v>
      </c>
      <c r="O106" s="172">
        <v>0</v>
      </c>
      <c r="P106" s="170"/>
      <c r="Q106" s="142"/>
      <c r="R106" s="243">
        <f t="shared" si="8"/>
        <v>4800</v>
      </c>
      <c r="S106" s="243">
        <f t="shared" si="9"/>
        <v>4800</v>
      </c>
      <c r="T106" s="47"/>
    </row>
    <row r="107" spans="1:20" ht="90" customHeight="1" x14ac:dyDescent="0.25">
      <c r="A107" s="124" t="s">
        <v>106</v>
      </c>
      <c r="B107" s="375" t="s">
        <v>329</v>
      </c>
      <c r="C107" s="406"/>
      <c r="D107" s="406" t="s">
        <v>24</v>
      </c>
      <c r="E107" s="377">
        <v>44207</v>
      </c>
      <c r="F107" s="377">
        <v>44561</v>
      </c>
      <c r="G107" s="377">
        <v>44207</v>
      </c>
      <c r="H107" s="377"/>
      <c r="I107" s="373">
        <v>661.7</v>
      </c>
      <c r="J107" s="373">
        <v>661.7</v>
      </c>
      <c r="K107" s="373">
        <v>134.5</v>
      </c>
      <c r="L107" s="373">
        <f>796.2-J107</f>
        <v>134.5</v>
      </c>
      <c r="M107" s="372">
        <v>80.400000000000006</v>
      </c>
      <c r="N107" s="372">
        <f>876.6-L107-J107</f>
        <v>80.399999999999977</v>
      </c>
      <c r="O107" s="372">
        <v>473.7</v>
      </c>
      <c r="P107" s="373"/>
      <c r="Q107" s="375"/>
      <c r="R107" s="446">
        <f t="shared" si="8"/>
        <v>1350.3</v>
      </c>
      <c r="S107" s="446">
        <f t="shared" si="9"/>
        <v>876.6</v>
      </c>
      <c r="T107" s="47"/>
    </row>
    <row r="108" spans="1:20" ht="408.75" customHeight="1" x14ac:dyDescent="0.25">
      <c r="A108" s="126"/>
      <c r="B108" s="376"/>
      <c r="C108" s="407"/>
      <c r="D108" s="407"/>
      <c r="E108" s="379"/>
      <c r="F108" s="379"/>
      <c r="G108" s="379"/>
      <c r="H108" s="379"/>
      <c r="I108" s="374"/>
      <c r="J108" s="374"/>
      <c r="K108" s="374"/>
      <c r="L108" s="374"/>
      <c r="M108" s="372"/>
      <c r="N108" s="372"/>
      <c r="O108" s="372"/>
      <c r="P108" s="374"/>
      <c r="Q108" s="376"/>
      <c r="R108" s="447"/>
      <c r="S108" s="447"/>
      <c r="T108" s="47"/>
    </row>
    <row r="109" spans="1:20" ht="132.75" customHeight="1" x14ac:dyDescent="0.25">
      <c r="A109" s="125" t="s">
        <v>259</v>
      </c>
      <c r="B109" s="137" t="s">
        <v>267</v>
      </c>
      <c r="C109" s="122"/>
      <c r="D109" s="122"/>
      <c r="E109" s="138"/>
      <c r="F109" s="138"/>
      <c r="G109" s="138"/>
      <c r="H109" s="138"/>
      <c r="I109" s="163"/>
      <c r="J109" s="163"/>
      <c r="K109" s="170"/>
      <c r="L109" s="181"/>
      <c r="M109" s="82"/>
      <c r="N109" s="257"/>
      <c r="O109" s="82"/>
      <c r="P109" s="170"/>
      <c r="Q109" s="137"/>
      <c r="R109" s="243"/>
      <c r="S109" s="243"/>
      <c r="T109" s="47"/>
    </row>
    <row r="110" spans="1:20" ht="308.45" customHeight="1" x14ac:dyDescent="0.25">
      <c r="A110" s="124" t="s">
        <v>78</v>
      </c>
      <c r="B110" s="143" t="s">
        <v>361</v>
      </c>
      <c r="C110" s="143"/>
      <c r="D110" s="192" t="s">
        <v>420</v>
      </c>
      <c r="E110" s="133">
        <v>44207</v>
      </c>
      <c r="F110" s="133">
        <v>44561</v>
      </c>
      <c r="G110" s="133">
        <v>44207</v>
      </c>
      <c r="H110" s="133"/>
      <c r="I110" s="162">
        <v>97853.2</v>
      </c>
      <c r="J110" s="162">
        <v>97853.2</v>
      </c>
      <c r="K110" s="373">
        <v>84000</v>
      </c>
      <c r="L110" s="373">
        <f>181853.2-J110</f>
        <v>84000.000000000015</v>
      </c>
      <c r="M110" s="372">
        <v>84000</v>
      </c>
      <c r="N110" s="373">
        <f>265853.2-L110-J110</f>
        <v>84000.000000000015</v>
      </c>
      <c r="O110" s="372">
        <v>86000</v>
      </c>
      <c r="P110" s="169"/>
      <c r="Q110" s="143"/>
      <c r="R110" s="446">
        <f t="shared" si="8"/>
        <v>351853.2</v>
      </c>
      <c r="S110" s="446">
        <f t="shared" si="9"/>
        <v>265853.2</v>
      </c>
      <c r="T110" s="47"/>
    </row>
    <row r="111" spans="1:20" ht="239.25" customHeight="1" x14ac:dyDescent="0.25">
      <c r="A111" s="78"/>
      <c r="B111" s="78" t="s">
        <v>360</v>
      </c>
      <c r="C111" s="78"/>
      <c r="D111" s="78"/>
      <c r="E111" s="78"/>
      <c r="F111" s="78"/>
      <c r="G111" s="78"/>
      <c r="H111" s="78"/>
      <c r="I111" s="78"/>
      <c r="J111" s="78"/>
      <c r="K111" s="374"/>
      <c r="L111" s="374"/>
      <c r="M111" s="372"/>
      <c r="N111" s="374"/>
      <c r="O111" s="372"/>
      <c r="P111" s="78"/>
      <c r="Q111" s="78"/>
      <c r="R111" s="447"/>
      <c r="S111" s="447"/>
      <c r="T111" s="47"/>
    </row>
    <row r="112" spans="1:20" ht="196.5" customHeight="1" x14ac:dyDescent="0.25">
      <c r="A112" s="115" t="s">
        <v>34</v>
      </c>
      <c r="B112" s="198" t="s">
        <v>330</v>
      </c>
      <c r="C112" s="116"/>
      <c r="D112" s="198" t="s">
        <v>416</v>
      </c>
      <c r="E112" s="197">
        <v>44207</v>
      </c>
      <c r="F112" s="197">
        <v>44561</v>
      </c>
      <c r="G112" s="197">
        <v>44207</v>
      </c>
      <c r="H112" s="197"/>
      <c r="I112" s="196">
        <v>244005.9</v>
      </c>
      <c r="J112" s="196">
        <v>244080.6</v>
      </c>
      <c r="K112" s="196">
        <v>246379</v>
      </c>
      <c r="L112" s="196">
        <f>494948.1-J112</f>
        <v>250867.49999999997</v>
      </c>
      <c r="M112" s="196">
        <v>240067.4</v>
      </c>
      <c r="N112" s="257">
        <f>734842.9-L112-J112</f>
        <v>239894.80000000002</v>
      </c>
      <c r="O112" s="196">
        <v>321023.7</v>
      </c>
      <c r="P112" s="196"/>
      <c r="Q112" s="198"/>
      <c r="R112" s="243">
        <f t="shared" si="8"/>
        <v>1051476</v>
      </c>
      <c r="S112" s="243">
        <f t="shared" si="9"/>
        <v>734842.9</v>
      </c>
      <c r="T112" s="47"/>
    </row>
    <row r="113" spans="1:20" ht="408.75" customHeight="1" x14ac:dyDescent="0.25">
      <c r="A113" s="380" t="s">
        <v>35</v>
      </c>
      <c r="B113" s="375" t="s">
        <v>359</v>
      </c>
      <c r="C113" s="406"/>
      <c r="D113" s="375" t="s">
        <v>416</v>
      </c>
      <c r="E113" s="377">
        <v>44207</v>
      </c>
      <c r="F113" s="377">
        <v>44561</v>
      </c>
      <c r="G113" s="377">
        <v>44207</v>
      </c>
      <c r="H113" s="377"/>
      <c r="I113" s="373">
        <v>25722.6</v>
      </c>
      <c r="J113" s="373">
        <v>25723</v>
      </c>
      <c r="K113" s="373">
        <v>25690.1</v>
      </c>
      <c r="L113" s="373">
        <f>52288-J113</f>
        <v>26565</v>
      </c>
      <c r="M113" s="401">
        <v>24027.200000000001</v>
      </c>
      <c r="N113" s="373">
        <f>76491.8-L113-J113</f>
        <v>24203.800000000003</v>
      </c>
      <c r="O113" s="410">
        <v>98453.2</v>
      </c>
      <c r="P113" s="373"/>
      <c r="Q113" s="375"/>
      <c r="R113" s="446">
        <f t="shared" si="8"/>
        <v>173893.09999999998</v>
      </c>
      <c r="S113" s="446">
        <f t="shared" si="9"/>
        <v>76491.8</v>
      </c>
      <c r="T113" s="47"/>
    </row>
    <row r="114" spans="1:20" ht="117.75" customHeight="1" x14ac:dyDescent="0.25">
      <c r="A114" s="382"/>
      <c r="B114" s="376"/>
      <c r="C114" s="407"/>
      <c r="D114" s="376"/>
      <c r="E114" s="379"/>
      <c r="F114" s="379"/>
      <c r="G114" s="379"/>
      <c r="H114" s="379"/>
      <c r="I114" s="374"/>
      <c r="J114" s="374"/>
      <c r="K114" s="374"/>
      <c r="L114" s="374"/>
      <c r="M114" s="373"/>
      <c r="N114" s="374"/>
      <c r="O114" s="373"/>
      <c r="P114" s="374"/>
      <c r="Q114" s="376"/>
      <c r="R114" s="447"/>
      <c r="S114" s="447"/>
      <c r="T114" s="47"/>
    </row>
    <row r="115" spans="1:20" ht="319.5" customHeight="1" x14ac:dyDescent="0.25">
      <c r="A115" s="125" t="s">
        <v>37</v>
      </c>
      <c r="B115" s="137" t="s">
        <v>421</v>
      </c>
      <c r="C115" s="122"/>
      <c r="D115" s="191" t="s">
        <v>416</v>
      </c>
      <c r="E115" s="138">
        <v>44207</v>
      </c>
      <c r="F115" s="138">
        <v>44561</v>
      </c>
      <c r="G115" s="138">
        <v>44207</v>
      </c>
      <c r="H115" s="138"/>
      <c r="I115" s="163">
        <v>4061.6</v>
      </c>
      <c r="J115" s="163">
        <v>4193.1000000000004</v>
      </c>
      <c r="K115" s="170">
        <v>6251.8</v>
      </c>
      <c r="L115" s="181">
        <f>10488.9-J115</f>
        <v>6295.7999999999993</v>
      </c>
      <c r="M115" s="172">
        <v>3939.6</v>
      </c>
      <c r="N115" s="263">
        <f>15178.3-L115-J115</f>
        <v>4689.3999999999996</v>
      </c>
      <c r="O115" s="172">
        <v>31101.3</v>
      </c>
      <c r="P115" s="170"/>
      <c r="Q115" s="137"/>
      <c r="R115" s="243">
        <f t="shared" si="8"/>
        <v>45354.3</v>
      </c>
      <c r="S115" s="243">
        <f t="shared" si="9"/>
        <v>15178.3</v>
      </c>
      <c r="T115" s="47"/>
    </row>
    <row r="116" spans="1:20" s="219" customFormat="1" ht="393.75" customHeight="1" x14ac:dyDescent="0.25">
      <c r="A116" s="258" t="s">
        <v>108</v>
      </c>
      <c r="B116" s="259" t="s">
        <v>333</v>
      </c>
      <c r="C116" s="260"/>
      <c r="D116" s="259" t="s">
        <v>416</v>
      </c>
      <c r="E116" s="261">
        <v>44207</v>
      </c>
      <c r="F116" s="261">
        <v>44561</v>
      </c>
      <c r="G116" s="261">
        <v>44207</v>
      </c>
      <c r="H116" s="261"/>
      <c r="I116" s="257">
        <v>926122.6</v>
      </c>
      <c r="J116" s="257">
        <v>926954.6</v>
      </c>
      <c r="K116" s="257">
        <v>929986</v>
      </c>
      <c r="L116" s="257">
        <f>1907661.4-J116</f>
        <v>980706.79999999993</v>
      </c>
      <c r="M116" s="257">
        <v>942048.9</v>
      </c>
      <c r="N116" s="257">
        <f>2849130.7-L116-J116</f>
        <v>941469.3000000004</v>
      </c>
      <c r="O116" s="257">
        <v>1241997</v>
      </c>
      <c r="P116" s="257"/>
      <c r="Q116" s="259"/>
      <c r="R116" s="243">
        <f t="shared" si="8"/>
        <v>4040154.5</v>
      </c>
      <c r="S116" s="243">
        <f t="shared" si="9"/>
        <v>2849130.7</v>
      </c>
      <c r="T116" s="218"/>
    </row>
    <row r="117" spans="1:20" ht="408.75" customHeight="1" x14ac:dyDescent="0.25">
      <c r="A117" s="392" t="s">
        <v>109</v>
      </c>
      <c r="B117" s="390" t="s">
        <v>334</v>
      </c>
      <c r="C117" s="393">
        <v>3</v>
      </c>
      <c r="D117" s="390" t="s">
        <v>416</v>
      </c>
      <c r="E117" s="391">
        <v>44207</v>
      </c>
      <c r="F117" s="391">
        <v>44561</v>
      </c>
      <c r="G117" s="391">
        <v>44207</v>
      </c>
      <c r="H117" s="391"/>
      <c r="I117" s="372">
        <v>896700.2</v>
      </c>
      <c r="J117" s="372">
        <v>897172.4</v>
      </c>
      <c r="K117" s="372">
        <v>906909.3</v>
      </c>
      <c r="L117" s="372">
        <f>1817294.2-J117</f>
        <v>920121.79999999993</v>
      </c>
      <c r="M117" s="372">
        <v>880938.8</v>
      </c>
      <c r="N117" s="372">
        <f>2704834-L117-J117</f>
        <v>887539.80000000016</v>
      </c>
      <c r="O117" s="372">
        <v>1165694.1000000001</v>
      </c>
      <c r="P117" s="372"/>
      <c r="Q117" s="390"/>
      <c r="R117" s="446">
        <f t="shared" si="8"/>
        <v>3850242.4</v>
      </c>
      <c r="S117" s="446">
        <f t="shared" si="9"/>
        <v>2704834</v>
      </c>
      <c r="T117" s="47"/>
    </row>
    <row r="118" spans="1:20" ht="378" customHeight="1" x14ac:dyDescent="0.25">
      <c r="A118" s="392"/>
      <c r="B118" s="390"/>
      <c r="C118" s="393"/>
      <c r="D118" s="390"/>
      <c r="E118" s="391"/>
      <c r="F118" s="391"/>
      <c r="G118" s="391"/>
      <c r="H118" s="391"/>
      <c r="I118" s="372"/>
      <c r="J118" s="372"/>
      <c r="K118" s="372"/>
      <c r="L118" s="372"/>
      <c r="M118" s="372"/>
      <c r="N118" s="372"/>
      <c r="O118" s="372"/>
      <c r="P118" s="372"/>
      <c r="Q118" s="390"/>
      <c r="R118" s="447"/>
      <c r="S118" s="447"/>
      <c r="T118" s="47"/>
    </row>
    <row r="119" spans="1:20" ht="318.75" x14ac:dyDescent="0.25">
      <c r="A119" s="115" t="s">
        <v>110</v>
      </c>
      <c r="B119" s="132" t="s">
        <v>335</v>
      </c>
      <c r="C119" s="123">
        <v>3</v>
      </c>
      <c r="D119" s="191" t="s">
        <v>416</v>
      </c>
      <c r="E119" s="140">
        <v>44207</v>
      </c>
      <c r="F119" s="140">
        <v>44561</v>
      </c>
      <c r="G119" s="140">
        <v>44207</v>
      </c>
      <c r="H119" s="140"/>
      <c r="I119" s="164">
        <v>1620655.5</v>
      </c>
      <c r="J119" s="164">
        <v>1621311.2</v>
      </c>
      <c r="K119" s="171">
        <v>1552014.8</v>
      </c>
      <c r="L119" s="182">
        <f>3240295.1-J119</f>
        <v>1618983.9000000001</v>
      </c>
      <c r="M119" s="171">
        <v>1525840.2</v>
      </c>
      <c r="N119" s="256">
        <f>4785034.2-L119-J119</f>
        <v>1544739.0999999999</v>
      </c>
      <c r="O119" s="176">
        <v>3063167.7</v>
      </c>
      <c r="P119" s="171"/>
      <c r="Q119" s="142"/>
      <c r="R119" s="243">
        <f t="shared" si="8"/>
        <v>7761678.2000000002</v>
      </c>
      <c r="S119" s="243">
        <f t="shared" si="9"/>
        <v>4785034.2</v>
      </c>
      <c r="T119" s="47"/>
    </row>
    <row r="120" spans="1:20" s="219" customFormat="1" ht="168.75" customHeight="1" x14ac:dyDescent="0.25">
      <c r="A120" s="258" t="s">
        <v>245</v>
      </c>
      <c r="B120" s="248" t="s">
        <v>336</v>
      </c>
      <c r="C120" s="249"/>
      <c r="D120" s="248" t="s">
        <v>416</v>
      </c>
      <c r="E120" s="261">
        <v>44207</v>
      </c>
      <c r="F120" s="261">
        <v>44561</v>
      </c>
      <c r="G120" s="261">
        <v>44207</v>
      </c>
      <c r="H120" s="261"/>
      <c r="I120" s="256">
        <v>3766955.2</v>
      </c>
      <c r="J120" s="256">
        <v>3767155.1</v>
      </c>
      <c r="K120" s="256">
        <v>4237614.7</v>
      </c>
      <c r="L120" s="256">
        <f>8566997.5-J120</f>
        <v>4799842.4000000004</v>
      </c>
      <c r="M120" s="257">
        <v>3953512.7</v>
      </c>
      <c r="N120" s="256">
        <f>13335075.9-L120-J120</f>
        <v>4768078.4000000004</v>
      </c>
      <c r="O120" s="262">
        <v>5169467.4000000004</v>
      </c>
      <c r="P120" s="256"/>
      <c r="Q120" s="259"/>
      <c r="R120" s="243">
        <f>I120+K120+M120+O120</f>
        <v>17127550</v>
      </c>
      <c r="S120" s="243">
        <f t="shared" si="9"/>
        <v>13335075.9</v>
      </c>
      <c r="T120" s="218"/>
    </row>
    <row r="121" spans="1:20" ht="77.25" customHeight="1" x14ac:dyDescent="0.25">
      <c r="A121" s="115" t="s">
        <v>261</v>
      </c>
      <c r="B121" s="198" t="s">
        <v>268</v>
      </c>
      <c r="C121" s="116"/>
      <c r="D121" s="198"/>
      <c r="E121" s="197"/>
      <c r="F121" s="197"/>
      <c r="G121" s="197"/>
      <c r="H121" s="197"/>
      <c r="I121" s="196"/>
      <c r="J121" s="196"/>
      <c r="K121" s="196"/>
      <c r="L121" s="196"/>
      <c r="M121" s="196"/>
      <c r="N121" s="257"/>
      <c r="O121" s="196"/>
      <c r="P121" s="196"/>
      <c r="Q121" s="198"/>
      <c r="R121" s="243"/>
      <c r="S121" s="243"/>
      <c r="T121" s="47"/>
    </row>
    <row r="122" spans="1:20" ht="178.5" customHeight="1" x14ac:dyDescent="0.25">
      <c r="A122" s="115" t="s">
        <v>39</v>
      </c>
      <c r="B122" s="198" t="s">
        <v>337</v>
      </c>
      <c r="C122" s="116"/>
      <c r="D122" s="198" t="s">
        <v>422</v>
      </c>
      <c r="E122" s="197">
        <v>44287</v>
      </c>
      <c r="F122" s="197">
        <v>44377</v>
      </c>
      <c r="G122" s="197"/>
      <c r="H122" s="197"/>
      <c r="I122" s="196">
        <v>0</v>
      </c>
      <c r="J122" s="196">
        <v>0</v>
      </c>
      <c r="K122" s="196">
        <v>0</v>
      </c>
      <c r="L122" s="196">
        <v>0</v>
      </c>
      <c r="M122" s="196">
        <v>17241.400000000001</v>
      </c>
      <c r="N122" s="257">
        <v>17241.400000000001</v>
      </c>
      <c r="O122" s="196">
        <v>0</v>
      </c>
      <c r="P122" s="196"/>
      <c r="Q122" s="198"/>
      <c r="R122" s="243">
        <f t="shared" ref="R122:R151" si="14">I122+K122+M122+O122</f>
        <v>17241.400000000001</v>
      </c>
      <c r="S122" s="243">
        <f t="shared" si="9"/>
        <v>17241.400000000001</v>
      </c>
      <c r="T122" s="47"/>
    </row>
    <row r="123" spans="1:20" ht="195.75" customHeight="1" x14ac:dyDescent="0.25">
      <c r="A123" s="115" t="s">
        <v>41</v>
      </c>
      <c r="B123" s="132" t="s">
        <v>338</v>
      </c>
      <c r="C123" s="123"/>
      <c r="D123" s="132" t="s">
        <v>435</v>
      </c>
      <c r="E123" s="138">
        <v>44207</v>
      </c>
      <c r="F123" s="138">
        <v>44561</v>
      </c>
      <c r="G123" s="138">
        <v>44207</v>
      </c>
      <c r="H123" s="138"/>
      <c r="I123" s="164">
        <v>14500</v>
      </c>
      <c r="J123" s="164">
        <v>14500</v>
      </c>
      <c r="K123" s="171">
        <v>15500</v>
      </c>
      <c r="L123" s="182">
        <f>38000-J123</f>
        <v>23500</v>
      </c>
      <c r="M123" s="172">
        <v>23300</v>
      </c>
      <c r="N123" s="256">
        <f>58400-L123-J123</f>
        <v>20400</v>
      </c>
      <c r="O123" s="172">
        <v>26073</v>
      </c>
      <c r="P123" s="171"/>
      <c r="Q123" s="132"/>
      <c r="R123" s="243">
        <f t="shared" si="14"/>
        <v>79373</v>
      </c>
      <c r="S123" s="243">
        <f t="shared" si="9"/>
        <v>58400</v>
      </c>
      <c r="T123" s="47"/>
    </row>
    <row r="124" spans="1:20" ht="198" customHeight="1" x14ac:dyDescent="0.25">
      <c r="A124" s="115" t="s">
        <v>43</v>
      </c>
      <c r="B124" s="142" t="s">
        <v>216</v>
      </c>
      <c r="C124" s="116"/>
      <c r="D124" s="191" t="s">
        <v>416</v>
      </c>
      <c r="E124" s="133">
        <v>44207</v>
      </c>
      <c r="F124" s="133">
        <v>44561</v>
      </c>
      <c r="G124" s="133">
        <v>44207</v>
      </c>
      <c r="H124" s="133"/>
      <c r="I124" s="165">
        <v>370036.3</v>
      </c>
      <c r="J124" s="165">
        <v>370070.9</v>
      </c>
      <c r="K124" s="172">
        <v>379703.3</v>
      </c>
      <c r="L124" s="179">
        <f>751077.2-J124</f>
        <v>381006.29999999993</v>
      </c>
      <c r="M124" s="172">
        <v>376366</v>
      </c>
      <c r="N124" s="257">
        <f>1128289.9-L124-J124</f>
        <v>377212.69999999995</v>
      </c>
      <c r="O124" s="174">
        <v>321420.59999999998</v>
      </c>
      <c r="P124" s="172"/>
      <c r="Q124" s="142"/>
      <c r="R124" s="243">
        <f t="shared" si="14"/>
        <v>1447526.2000000002</v>
      </c>
      <c r="S124" s="243">
        <f t="shared" si="9"/>
        <v>1128289.8999999999</v>
      </c>
      <c r="T124" s="47"/>
    </row>
    <row r="125" spans="1:20" ht="195.75" customHeight="1" x14ac:dyDescent="0.25">
      <c r="A125" s="115" t="s">
        <v>91</v>
      </c>
      <c r="B125" s="142" t="s">
        <v>111</v>
      </c>
      <c r="C125" s="116"/>
      <c r="D125" s="191" t="s">
        <v>435</v>
      </c>
      <c r="E125" s="140">
        <v>44207</v>
      </c>
      <c r="F125" s="140">
        <v>44561</v>
      </c>
      <c r="G125" s="140">
        <v>44207</v>
      </c>
      <c r="H125" s="140"/>
      <c r="I125" s="165">
        <v>4674.5</v>
      </c>
      <c r="J125" s="165">
        <v>4862.5</v>
      </c>
      <c r="K125" s="172">
        <v>7622</v>
      </c>
      <c r="L125" s="179">
        <f>14783.9-J125</f>
        <v>9921.4</v>
      </c>
      <c r="M125" s="172">
        <v>8860.4</v>
      </c>
      <c r="N125" s="257">
        <f>24799-L125-J125</f>
        <v>10015.1</v>
      </c>
      <c r="O125" s="174">
        <v>15136.7</v>
      </c>
      <c r="P125" s="172"/>
      <c r="Q125" s="142"/>
      <c r="R125" s="243">
        <f t="shared" si="14"/>
        <v>36293.600000000006</v>
      </c>
      <c r="S125" s="243">
        <f t="shared" si="9"/>
        <v>24799</v>
      </c>
      <c r="T125" s="47"/>
    </row>
    <row r="126" spans="1:20" ht="180" customHeight="1" x14ac:dyDescent="0.25">
      <c r="A126" s="115" t="s">
        <v>94</v>
      </c>
      <c r="B126" s="142" t="s">
        <v>358</v>
      </c>
      <c r="C126" s="116"/>
      <c r="D126" s="194" t="s">
        <v>433</v>
      </c>
      <c r="E126" s="140">
        <v>44207</v>
      </c>
      <c r="F126" s="140">
        <v>44561</v>
      </c>
      <c r="G126" s="140">
        <v>44207</v>
      </c>
      <c r="H126" s="140"/>
      <c r="I126" s="165">
        <v>126763.1</v>
      </c>
      <c r="J126" s="165">
        <v>133938.70000000001</v>
      </c>
      <c r="K126" s="172">
        <v>162153.20000000001</v>
      </c>
      <c r="L126" s="179">
        <f>324877-J126</f>
        <v>190938.3</v>
      </c>
      <c r="M126" s="169">
        <v>183907.3</v>
      </c>
      <c r="N126" s="257">
        <f>518618.6-L126-J126</f>
        <v>193741.59999999998</v>
      </c>
      <c r="O126" s="75">
        <v>76757.3</v>
      </c>
      <c r="P126" s="172"/>
      <c r="Q126" s="142"/>
      <c r="R126" s="243">
        <f t="shared" si="14"/>
        <v>549580.9</v>
      </c>
      <c r="S126" s="243">
        <f t="shared" si="9"/>
        <v>518618.6</v>
      </c>
      <c r="T126" s="47"/>
    </row>
    <row r="127" spans="1:20" ht="130.9" customHeight="1" x14ac:dyDescent="0.25">
      <c r="A127" s="115" t="s">
        <v>95</v>
      </c>
      <c r="B127" s="71" t="s">
        <v>341</v>
      </c>
      <c r="C127" s="116"/>
      <c r="D127" s="142" t="s">
        <v>423</v>
      </c>
      <c r="E127" s="140">
        <v>44207</v>
      </c>
      <c r="F127" s="140">
        <v>44378</v>
      </c>
      <c r="G127" s="193">
        <v>44207</v>
      </c>
      <c r="H127" s="140">
        <v>44286</v>
      </c>
      <c r="I127" s="165">
        <v>0</v>
      </c>
      <c r="J127" s="165">
        <v>0</v>
      </c>
      <c r="K127" s="172">
        <v>0</v>
      </c>
      <c r="L127" s="179">
        <v>0</v>
      </c>
      <c r="M127" s="177">
        <v>0</v>
      </c>
      <c r="N127" s="257">
        <v>0</v>
      </c>
      <c r="O127" s="257">
        <v>266.3</v>
      </c>
      <c r="P127" s="172"/>
      <c r="Q127" s="203" t="s">
        <v>407</v>
      </c>
      <c r="R127" s="243">
        <f t="shared" si="14"/>
        <v>266.3</v>
      </c>
      <c r="S127" s="243">
        <f t="shared" si="9"/>
        <v>0</v>
      </c>
      <c r="T127" s="47"/>
    </row>
    <row r="128" spans="1:20" ht="141.75" customHeight="1" x14ac:dyDescent="0.25">
      <c r="A128" s="115" t="s">
        <v>44</v>
      </c>
      <c r="B128" s="198" t="s">
        <v>269</v>
      </c>
      <c r="C128" s="116"/>
      <c r="D128" s="198"/>
      <c r="E128" s="197"/>
      <c r="F128" s="197"/>
      <c r="G128" s="197"/>
      <c r="H128" s="197"/>
      <c r="I128" s="196"/>
      <c r="J128" s="196"/>
      <c r="K128" s="196"/>
      <c r="L128" s="196"/>
      <c r="M128" s="196"/>
      <c r="N128" s="257"/>
      <c r="O128" s="196"/>
      <c r="P128" s="196"/>
      <c r="Q128" s="198"/>
      <c r="R128" s="243"/>
      <c r="S128" s="243"/>
      <c r="T128" s="47"/>
    </row>
    <row r="129" spans="1:20" ht="408.75" customHeight="1" x14ac:dyDescent="0.25">
      <c r="A129" s="380" t="s">
        <v>45</v>
      </c>
      <c r="B129" s="375" t="s">
        <v>342</v>
      </c>
      <c r="C129" s="406"/>
      <c r="D129" s="375" t="s">
        <v>435</v>
      </c>
      <c r="E129" s="377">
        <v>44207</v>
      </c>
      <c r="F129" s="377">
        <v>44561</v>
      </c>
      <c r="G129" s="377">
        <v>44207</v>
      </c>
      <c r="H129" s="377"/>
      <c r="I129" s="373">
        <v>461009.9</v>
      </c>
      <c r="J129" s="373">
        <v>500092.8</v>
      </c>
      <c r="K129" s="373">
        <v>369780.4</v>
      </c>
      <c r="L129" s="373">
        <f>989487.2-J129</f>
        <v>489394.39999999997</v>
      </c>
      <c r="M129" s="373">
        <v>486396</v>
      </c>
      <c r="N129" s="373">
        <f>1479592.7-L129-J129</f>
        <v>490105.50000000006</v>
      </c>
      <c r="O129" s="373">
        <v>657397.80000000005</v>
      </c>
      <c r="P129" s="373"/>
      <c r="Q129" s="375"/>
      <c r="R129" s="446">
        <f t="shared" si="14"/>
        <v>1974584.1</v>
      </c>
      <c r="S129" s="446">
        <f t="shared" si="9"/>
        <v>1479592.7</v>
      </c>
      <c r="T129" s="47"/>
    </row>
    <row r="130" spans="1:20" ht="106.15" customHeight="1" x14ac:dyDescent="0.25">
      <c r="A130" s="382"/>
      <c r="B130" s="376"/>
      <c r="C130" s="407"/>
      <c r="D130" s="376"/>
      <c r="E130" s="379"/>
      <c r="F130" s="379"/>
      <c r="G130" s="379"/>
      <c r="H130" s="379"/>
      <c r="I130" s="374"/>
      <c r="J130" s="374"/>
      <c r="K130" s="374"/>
      <c r="L130" s="374"/>
      <c r="M130" s="382"/>
      <c r="N130" s="374"/>
      <c r="O130" s="382"/>
      <c r="P130" s="374"/>
      <c r="Q130" s="376"/>
      <c r="R130" s="447"/>
      <c r="S130" s="447"/>
      <c r="T130" s="47"/>
    </row>
    <row r="131" spans="1:20" ht="209.25" customHeight="1" x14ac:dyDescent="0.25">
      <c r="A131" s="124" t="s">
        <v>46</v>
      </c>
      <c r="B131" s="143" t="s">
        <v>357</v>
      </c>
      <c r="C131" s="143"/>
      <c r="D131" s="375" t="s">
        <v>435</v>
      </c>
      <c r="E131" s="133">
        <v>44207</v>
      </c>
      <c r="F131" s="133">
        <v>44561</v>
      </c>
      <c r="G131" s="133">
        <v>44207</v>
      </c>
      <c r="H131" s="133"/>
      <c r="I131" s="162">
        <v>311387.40000000002</v>
      </c>
      <c r="J131" s="162">
        <v>326050.59999999998</v>
      </c>
      <c r="K131" s="169">
        <v>348859.6</v>
      </c>
      <c r="L131" s="180">
        <f>719005.5-J131</f>
        <v>392954.9</v>
      </c>
      <c r="M131" s="169">
        <v>376372.2</v>
      </c>
      <c r="N131" s="255">
        <f>1119397.9-L131-J131</f>
        <v>400392.39999999991</v>
      </c>
      <c r="O131" s="169">
        <v>668731.80000000005</v>
      </c>
      <c r="P131" s="169"/>
      <c r="Q131" s="143"/>
      <c r="R131" s="448">
        <f t="shared" si="14"/>
        <v>1705351</v>
      </c>
      <c r="S131" s="448">
        <f t="shared" si="9"/>
        <v>1119397.8999999999</v>
      </c>
      <c r="T131" s="47"/>
    </row>
    <row r="132" spans="1:20" ht="307.5" customHeight="1" x14ac:dyDescent="0.25">
      <c r="A132" s="126"/>
      <c r="B132" s="139" t="s">
        <v>356</v>
      </c>
      <c r="C132" s="126"/>
      <c r="D132" s="376"/>
      <c r="E132" s="126"/>
      <c r="F132" s="126"/>
      <c r="G132" s="126"/>
      <c r="H132" s="126"/>
      <c r="I132" s="161"/>
      <c r="J132" s="161"/>
      <c r="K132" s="168"/>
      <c r="L132" s="178"/>
      <c r="M132" s="171"/>
      <c r="N132" s="254"/>
      <c r="O132" s="171"/>
      <c r="P132" s="168"/>
      <c r="Q132" s="126"/>
      <c r="R132" s="449"/>
      <c r="S132" s="449"/>
      <c r="T132" s="47"/>
    </row>
    <row r="133" spans="1:20" ht="408.75" customHeight="1" x14ac:dyDescent="0.25">
      <c r="A133" s="380" t="s">
        <v>113</v>
      </c>
      <c r="B133" s="375" t="s">
        <v>344</v>
      </c>
      <c r="C133" s="406"/>
      <c r="D133" s="375" t="s">
        <v>435</v>
      </c>
      <c r="E133" s="377">
        <v>44207</v>
      </c>
      <c r="F133" s="377">
        <v>44561</v>
      </c>
      <c r="G133" s="377">
        <v>44207</v>
      </c>
      <c r="H133" s="377"/>
      <c r="I133" s="373">
        <v>1572.5</v>
      </c>
      <c r="J133" s="373">
        <v>1721.3</v>
      </c>
      <c r="K133" s="373">
        <v>1227</v>
      </c>
      <c r="L133" s="373">
        <f>3247.8-J133</f>
        <v>1526.5000000000002</v>
      </c>
      <c r="M133" s="372">
        <v>1537</v>
      </c>
      <c r="N133" s="373">
        <f>4853.7-L133-J133</f>
        <v>1605.8999999999999</v>
      </c>
      <c r="O133" s="372">
        <v>12064.7</v>
      </c>
      <c r="P133" s="373"/>
      <c r="Q133" s="375"/>
      <c r="R133" s="446">
        <f t="shared" si="14"/>
        <v>16401.2</v>
      </c>
      <c r="S133" s="446">
        <f t="shared" si="9"/>
        <v>4853.7</v>
      </c>
      <c r="T133" s="47"/>
    </row>
    <row r="134" spans="1:20" ht="117" customHeight="1" x14ac:dyDescent="0.25">
      <c r="A134" s="382"/>
      <c r="B134" s="376"/>
      <c r="C134" s="407"/>
      <c r="D134" s="376"/>
      <c r="E134" s="379"/>
      <c r="F134" s="379"/>
      <c r="G134" s="379"/>
      <c r="H134" s="379"/>
      <c r="I134" s="374"/>
      <c r="J134" s="374"/>
      <c r="K134" s="374"/>
      <c r="L134" s="374"/>
      <c r="M134" s="372"/>
      <c r="N134" s="374"/>
      <c r="O134" s="372"/>
      <c r="P134" s="374"/>
      <c r="Q134" s="376"/>
      <c r="R134" s="447"/>
      <c r="S134" s="447"/>
      <c r="T134" s="47"/>
    </row>
    <row r="135" spans="1:20" ht="408.75" customHeight="1" x14ac:dyDescent="0.25">
      <c r="A135" s="115" t="s">
        <v>114</v>
      </c>
      <c r="B135" s="67" t="s">
        <v>345</v>
      </c>
      <c r="C135" s="67"/>
      <c r="D135" s="67" t="s">
        <v>435</v>
      </c>
      <c r="E135" s="140">
        <v>44207</v>
      </c>
      <c r="F135" s="140">
        <v>44561</v>
      </c>
      <c r="G135" s="140">
        <v>44207</v>
      </c>
      <c r="H135" s="140"/>
      <c r="I135" s="165">
        <v>1817.7</v>
      </c>
      <c r="J135" s="165">
        <v>1822.4</v>
      </c>
      <c r="K135" s="172">
        <v>1578.5</v>
      </c>
      <c r="L135" s="179">
        <f>3638.5-J135</f>
        <v>1816.1</v>
      </c>
      <c r="M135" s="177">
        <v>1613.6</v>
      </c>
      <c r="N135" s="257">
        <f>5340.1-L135-J135</f>
        <v>1701.6000000000004</v>
      </c>
      <c r="O135" s="177">
        <v>15734.8</v>
      </c>
      <c r="P135" s="172"/>
      <c r="Q135" s="67"/>
      <c r="R135" s="243">
        <f t="shared" si="14"/>
        <v>20744.599999999999</v>
      </c>
      <c r="S135" s="243">
        <f t="shared" si="9"/>
        <v>5340.1</v>
      </c>
      <c r="T135" s="47"/>
    </row>
    <row r="136" spans="1:20" ht="408.75" customHeight="1" x14ac:dyDescent="0.25">
      <c r="A136" s="380" t="s">
        <v>115</v>
      </c>
      <c r="B136" s="375" t="s">
        <v>346</v>
      </c>
      <c r="C136" s="406"/>
      <c r="D136" s="375" t="s">
        <v>437</v>
      </c>
      <c r="E136" s="377">
        <v>44207</v>
      </c>
      <c r="F136" s="377">
        <v>44561</v>
      </c>
      <c r="G136" s="377">
        <v>44207</v>
      </c>
      <c r="H136" s="377"/>
      <c r="I136" s="373">
        <v>67776.399999999994</v>
      </c>
      <c r="J136" s="373">
        <v>71871.5</v>
      </c>
      <c r="K136" s="373">
        <v>83959.9</v>
      </c>
      <c r="L136" s="373">
        <f>163348.1-J136</f>
        <v>91476.6</v>
      </c>
      <c r="M136" s="373">
        <v>87130.4</v>
      </c>
      <c r="N136" s="373">
        <f>256797.4-L136-J136</f>
        <v>93449.299999999988</v>
      </c>
      <c r="O136" s="373">
        <v>149745</v>
      </c>
      <c r="P136" s="373"/>
      <c r="Q136" s="375"/>
      <c r="R136" s="446">
        <f t="shared" si="14"/>
        <v>388611.69999999995</v>
      </c>
      <c r="S136" s="446">
        <f t="shared" si="9"/>
        <v>256797.4</v>
      </c>
      <c r="T136" s="47"/>
    </row>
    <row r="137" spans="1:20" ht="320.25" customHeight="1" x14ac:dyDescent="0.25">
      <c r="A137" s="382"/>
      <c r="B137" s="376"/>
      <c r="C137" s="407"/>
      <c r="D137" s="376"/>
      <c r="E137" s="379"/>
      <c r="F137" s="379"/>
      <c r="G137" s="379"/>
      <c r="H137" s="379"/>
      <c r="I137" s="374"/>
      <c r="J137" s="374"/>
      <c r="K137" s="374"/>
      <c r="L137" s="374"/>
      <c r="M137" s="408"/>
      <c r="N137" s="374"/>
      <c r="O137" s="408"/>
      <c r="P137" s="374"/>
      <c r="Q137" s="376"/>
      <c r="R137" s="447"/>
      <c r="S137" s="447"/>
      <c r="T137" s="47"/>
    </row>
    <row r="138" spans="1:20" ht="274.89999999999998" customHeight="1" x14ac:dyDescent="0.25">
      <c r="A138" s="124" t="s">
        <v>116</v>
      </c>
      <c r="B138" s="143" t="s">
        <v>355</v>
      </c>
      <c r="C138" s="143"/>
      <c r="D138" s="143" t="s">
        <v>436</v>
      </c>
      <c r="E138" s="133">
        <v>44207</v>
      </c>
      <c r="F138" s="133">
        <v>44561</v>
      </c>
      <c r="G138" s="133">
        <v>44207</v>
      </c>
      <c r="H138" s="133"/>
      <c r="I138" s="162">
        <v>4741.7</v>
      </c>
      <c r="J138" s="162">
        <v>5028.6000000000004</v>
      </c>
      <c r="K138" s="169">
        <v>5693.3</v>
      </c>
      <c r="L138" s="180">
        <f>11537.6-J138</f>
        <v>6509</v>
      </c>
      <c r="M138" s="169">
        <v>6131.3</v>
      </c>
      <c r="N138" s="255">
        <f>17840.5-L138-J138</f>
        <v>6302.9</v>
      </c>
      <c r="O138" s="169">
        <v>11448.5</v>
      </c>
      <c r="P138" s="169"/>
      <c r="Q138" s="143"/>
      <c r="R138" s="446">
        <f t="shared" si="14"/>
        <v>28014.799999999999</v>
      </c>
      <c r="S138" s="446">
        <f t="shared" si="9"/>
        <v>17840.5</v>
      </c>
      <c r="T138" s="47"/>
    </row>
    <row r="139" spans="1:20" ht="157.5" customHeight="1" x14ac:dyDescent="0.25">
      <c r="A139" s="78"/>
      <c r="B139" s="77" t="s">
        <v>354</v>
      </c>
      <c r="C139" s="78"/>
      <c r="D139" s="78"/>
      <c r="E139" s="78"/>
      <c r="F139" s="78"/>
      <c r="G139" s="78"/>
      <c r="H139" s="78"/>
      <c r="I139" s="78"/>
      <c r="J139" s="78"/>
      <c r="K139" s="78"/>
      <c r="L139" s="183"/>
      <c r="M139" s="171"/>
      <c r="N139" s="264"/>
      <c r="O139" s="171"/>
      <c r="P139" s="78"/>
      <c r="Q139" s="78"/>
      <c r="R139" s="447"/>
      <c r="S139" s="447"/>
      <c r="T139" s="47"/>
    </row>
    <row r="140" spans="1:20" ht="312.75" customHeight="1" x14ac:dyDescent="0.25">
      <c r="A140" s="380" t="s">
        <v>117</v>
      </c>
      <c r="B140" s="375" t="s">
        <v>348</v>
      </c>
      <c r="C140" s="406"/>
      <c r="D140" s="375" t="s">
        <v>440</v>
      </c>
      <c r="E140" s="377">
        <v>44207</v>
      </c>
      <c r="F140" s="377">
        <v>44561</v>
      </c>
      <c r="G140" s="377">
        <v>44207</v>
      </c>
      <c r="H140" s="377"/>
      <c r="I140" s="373">
        <v>33188.699999999997</v>
      </c>
      <c r="J140" s="373">
        <v>35110.5</v>
      </c>
      <c r="K140" s="373">
        <v>38688.1</v>
      </c>
      <c r="L140" s="373">
        <f>78191-J140</f>
        <v>43080.5</v>
      </c>
      <c r="M140" s="372">
        <v>39042.699999999997</v>
      </c>
      <c r="N140" s="372">
        <f>120357.2-L140-J140</f>
        <v>42166.2</v>
      </c>
      <c r="O140" s="372">
        <v>71485.3</v>
      </c>
      <c r="P140" s="373"/>
      <c r="Q140" s="375"/>
      <c r="R140" s="446">
        <f t="shared" si="14"/>
        <v>182404.8</v>
      </c>
      <c r="S140" s="446">
        <f t="shared" si="9"/>
        <v>120357.2</v>
      </c>
      <c r="T140" s="47"/>
    </row>
    <row r="141" spans="1:20" ht="61.5" customHeight="1" x14ac:dyDescent="0.25">
      <c r="A141" s="382"/>
      <c r="B141" s="376"/>
      <c r="C141" s="407"/>
      <c r="D141" s="376"/>
      <c r="E141" s="379"/>
      <c r="F141" s="379"/>
      <c r="G141" s="379"/>
      <c r="H141" s="379"/>
      <c r="I141" s="374"/>
      <c r="J141" s="374"/>
      <c r="K141" s="374"/>
      <c r="L141" s="374"/>
      <c r="M141" s="372"/>
      <c r="N141" s="372"/>
      <c r="O141" s="372"/>
      <c r="P141" s="374"/>
      <c r="Q141" s="376"/>
      <c r="R141" s="447"/>
      <c r="S141" s="447"/>
      <c r="T141" s="47"/>
    </row>
    <row r="142" spans="1:20" ht="96.75" customHeight="1" x14ac:dyDescent="0.25">
      <c r="A142" s="115" t="s">
        <v>270</v>
      </c>
      <c r="B142" s="198" t="s">
        <v>271</v>
      </c>
      <c r="C142" s="116"/>
      <c r="D142" s="198"/>
      <c r="E142" s="197"/>
      <c r="F142" s="197"/>
      <c r="G142" s="197"/>
      <c r="H142" s="197"/>
      <c r="I142" s="196"/>
      <c r="J142" s="196"/>
      <c r="K142" s="196"/>
      <c r="L142" s="196"/>
      <c r="M142" s="196"/>
      <c r="N142" s="257"/>
      <c r="O142" s="196"/>
      <c r="P142" s="196"/>
      <c r="Q142" s="198"/>
      <c r="R142" s="243"/>
      <c r="S142" s="243"/>
      <c r="T142" s="47"/>
    </row>
    <row r="143" spans="1:20" ht="382.5" customHeight="1" x14ac:dyDescent="0.25">
      <c r="A143" s="392" t="s">
        <v>118</v>
      </c>
      <c r="B143" s="390" t="s">
        <v>349</v>
      </c>
      <c r="C143" s="393"/>
      <c r="D143" s="390" t="s">
        <v>438</v>
      </c>
      <c r="E143" s="391">
        <v>44287</v>
      </c>
      <c r="F143" s="391">
        <v>44561</v>
      </c>
      <c r="G143" s="391">
        <v>44287</v>
      </c>
      <c r="H143" s="391"/>
      <c r="I143" s="372">
        <v>0</v>
      </c>
      <c r="J143" s="372">
        <v>0</v>
      </c>
      <c r="K143" s="372">
        <v>0</v>
      </c>
      <c r="L143" s="372">
        <v>0</v>
      </c>
      <c r="M143" s="372">
        <v>0</v>
      </c>
      <c r="N143" s="372">
        <v>0</v>
      </c>
      <c r="O143" s="372">
        <v>391.8</v>
      </c>
      <c r="P143" s="372"/>
      <c r="Q143" s="390"/>
      <c r="R143" s="446">
        <f t="shared" si="14"/>
        <v>391.8</v>
      </c>
      <c r="S143" s="446">
        <f t="shared" ref="S143:S151" si="15">P143+N143+L143+J143</f>
        <v>0</v>
      </c>
      <c r="T143" s="47"/>
    </row>
    <row r="144" spans="1:20" ht="98.25" customHeight="1" x14ac:dyDescent="0.25">
      <c r="A144" s="392"/>
      <c r="B144" s="390"/>
      <c r="C144" s="393"/>
      <c r="D144" s="390"/>
      <c r="E144" s="391"/>
      <c r="F144" s="391"/>
      <c r="G144" s="391"/>
      <c r="H144" s="391"/>
      <c r="I144" s="372"/>
      <c r="J144" s="372"/>
      <c r="K144" s="372"/>
      <c r="L144" s="372"/>
      <c r="M144" s="372"/>
      <c r="N144" s="372"/>
      <c r="O144" s="372"/>
      <c r="P144" s="372"/>
      <c r="Q144" s="390"/>
      <c r="R144" s="447"/>
      <c r="S144" s="447"/>
      <c r="T144" s="47"/>
    </row>
    <row r="145" spans="1:20" ht="341.25" customHeight="1" x14ac:dyDescent="0.25">
      <c r="A145" s="125" t="s">
        <v>272</v>
      </c>
      <c r="B145" s="137" t="s">
        <v>273</v>
      </c>
      <c r="C145" s="122"/>
      <c r="D145" s="137"/>
      <c r="E145" s="138"/>
      <c r="F145" s="138"/>
      <c r="G145" s="138"/>
      <c r="H145" s="138"/>
      <c r="I145" s="163"/>
      <c r="J145" s="163"/>
      <c r="K145" s="170"/>
      <c r="L145" s="181"/>
      <c r="M145" s="172"/>
      <c r="N145" s="263"/>
      <c r="O145" s="172"/>
      <c r="P145" s="170"/>
      <c r="Q145" s="137"/>
      <c r="R145" s="243"/>
      <c r="S145" s="243"/>
      <c r="T145" s="47"/>
    </row>
    <row r="146" spans="1:20" ht="141.75" customHeight="1" x14ac:dyDescent="0.25">
      <c r="A146" s="380" t="s">
        <v>53</v>
      </c>
      <c r="B146" s="375" t="s">
        <v>217</v>
      </c>
      <c r="C146" s="384"/>
      <c r="D146" s="387" t="s">
        <v>398</v>
      </c>
      <c r="E146" s="377">
        <v>44207</v>
      </c>
      <c r="F146" s="377">
        <v>44561</v>
      </c>
      <c r="G146" s="377">
        <v>44207</v>
      </c>
      <c r="H146" s="377"/>
      <c r="I146" s="373">
        <v>2902.5</v>
      </c>
      <c r="J146" s="373">
        <v>3643.4</v>
      </c>
      <c r="K146" s="373">
        <v>5520.2</v>
      </c>
      <c r="L146" s="373">
        <f>10930.4-J146</f>
        <v>7287</v>
      </c>
      <c r="M146" s="372">
        <v>5162.6000000000004</v>
      </c>
      <c r="N146" s="373">
        <f>13585.3-L146-J146</f>
        <v>2654.8999999999992</v>
      </c>
      <c r="O146" s="372">
        <v>12481.5</v>
      </c>
      <c r="P146" s="373"/>
      <c r="Q146" s="375"/>
      <c r="R146" s="446">
        <f t="shared" si="14"/>
        <v>26066.800000000003</v>
      </c>
      <c r="S146" s="446">
        <f t="shared" si="15"/>
        <v>13585.3</v>
      </c>
      <c r="T146" s="47"/>
    </row>
    <row r="147" spans="1:20" ht="195.75" customHeight="1" x14ac:dyDescent="0.25">
      <c r="A147" s="381"/>
      <c r="B147" s="383"/>
      <c r="C147" s="385"/>
      <c r="D147" s="388"/>
      <c r="E147" s="378"/>
      <c r="F147" s="378"/>
      <c r="G147" s="378"/>
      <c r="H147" s="378"/>
      <c r="I147" s="401"/>
      <c r="J147" s="401"/>
      <c r="K147" s="401"/>
      <c r="L147" s="401"/>
      <c r="M147" s="372"/>
      <c r="N147" s="401"/>
      <c r="O147" s="372"/>
      <c r="P147" s="401"/>
      <c r="Q147" s="383"/>
      <c r="R147" s="452"/>
      <c r="S147" s="452"/>
      <c r="T147" s="47"/>
    </row>
    <row r="148" spans="1:20" ht="71.25" customHeight="1" x14ac:dyDescent="0.25">
      <c r="A148" s="382"/>
      <c r="B148" s="376"/>
      <c r="C148" s="386"/>
      <c r="D148" s="389"/>
      <c r="E148" s="379"/>
      <c r="F148" s="379"/>
      <c r="G148" s="379"/>
      <c r="H148" s="379"/>
      <c r="I148" s="374"/>
      <c r="J148" s="374"/>
      <c r="K148" s="374"/>
      <c r="L148" s="374"/>
      <c r="M148" s="372"/>
      <c r="N148" s="374"/>
      <c r="O148" s="372"/>
      <c r="P148" s="374"/>
      <c r="Q148" s="376"/>
      <c r="R148" s="447"/>
      <c r="S148" s="447"/>
      <c r="T148" s="47"/>
    </row>
    <row r="149" spans="1:20" ht="180.75" customHeight="1" x14ac:dyDescent="0.25">
      <c r="A149" s="115"/>
      <c r="B149" s="198" t="s">
        <v>218</v>
      </c>
      <c r="C149" s="116" t="s">
        <v>24</v>
      </c>
      <c r="D149" s="198" t="s">
        <v>399</v>
      </c>
      <c r="E149" s="117" t="s">
        <v>24</v>
      </c>
      <c r="F149" s="197">
        <v>44561</v>
      </c>
      <c r="G149" s="117" t="s">
        <v>24</v>
      </c>
      <c r="H149" s="197"/>
      <c r="I149" s="196" t="s">
        <v>24</v>
      </c>
      <c r="J149" s="196" t="s">
        <v>24</v>
      </c>
      <c r="K149" s="196" t="s">
        <v>24</v>
      </c>
      <c r="L149" s="196" t="s">
        <v>24</v>
      </c>
      <c r="M149" s="117" t="s">
        <v>24</v>
      </c>
      <c r="N149" s="257" t="s">
        <v>24</v>
      </c>
      <c r="O149" s="117" t="s">
        <v>24</v>
      </c>
      <c r="P149" s="196" t="s">
        <v>24</v>
      </c>
      <c r="Q149" s="196"/>
      <c r="R149" s="243"/>
      <c r="S149" s="243"/>
      <c r="T149" s="47"/>
    </row>
    <row r="150" spans="1:20" ht="135.75" customHeight="1" x14ac:dyDescent="0.25">
      <c r="A150" s="83"/>
      <c r="B150" s="143" t="s">
        <v>219</v>
      </c>
      <c r="C150" s="121" t="s">
        <v>24</v>
      </c>
      <c r="D150" s="402" t="s">
        <v>439</v>
      </c>
      <c r="E150" s="135" t="s">
        <v>24</v>
      </c>
      <c r="F150" s="133">
        <v>44561</v>
      </c>
      <c r="G150" s="135" t="s">
        <v>24</v>
      </c>
      <c r="H150" s="133"/>
      <c r="I150" s="162" t="s">
        <v>24</v>
      </c>
      <c r="J150" s="162" t="s">
        <v>24</v>
      </c>
      <c r="K150" s="169" t="s">
        <v>24</v>
      </c>
      <c r="L150" s="180" t="s">
        <v>24</v>
      </c>
      <c r="M150" s="404" t="s">
        <v>24</v>
      </c>
      <c r="N150" s="255" t="s">
        <v>24</v>
      </c>
      <c r="O150" s="404" t="s">
        <v>24</v>
      </c>
      <c r="P150" s="75" t="s">
        <v>24</v>
      </c>
      <c r="Q150" s="130"/>
      <c r="R150" s="243"/>
      <c r="S150" s="243"/>
      <c r="T150" s="47"/>
    </row>
    <row r="151" spans="1:20" ht="388.5" customHeight="1" x14ac:dyDescent="0.25">
      <c r="A151" s="78"/>
      <c r="B151" s="77"/>
      <c r="C151" s="123"/>
      <c r="D151" s="403"/>
      <c r="E151" s="136"/>
      <c r="F151" s="136"/>
      <c r="G151" s="136"/>
      <c r="H151" s="136"/>
      <c r="I151" s="166"/>
      <c r="J151" s="166"/>
      <c r="K151" s="173"/>
      <c r="L151" s="184"/>
      <c r="M151" s="405"/>
      <c r="N151" s="252"/>
      <c r="O151" s="405"/>
      <c r="P151" s="173"/>
      <c r="Q151" s="136"/>
      <c r="R151" s="243">
        <f t="shared" si="14"/>
        <v>0</v>
      </c>
      <c r="S151" s="243">
        <f t="shared" si="15"/>
        <v>0</v>
      </c>
      <c r="T151" s="47"/>
    </row>
    <row r="152" spans="1:20" s="98" customFormat="1" ht="61.5" customHeight="1" x14ac:dyDescent="0.3">
      <c r="A152" s="266"/>
      <c r="B152" s="394" t="s">
        <v>220</v>
      </c>
      <c r="C152" s="395"/>
      <c r="D152" s="395"/>
      <c r="E152" s="396"/>
      <c r="F152" s="396"/>
      <c r="G152" s="396"/>
      <c r="H152" s="397"/>
      <c r="I152" s="265">
        <f>I10+I12+I70+I97-0.1</f>
        <v>16395397.500000004</v>
      </c>
      <c r="J152" s="265">
        <f t="shared" ref="J152:P152" si="16">J12+J70+J97+J11</f>
        <v>16931144.100000001</v>
      </c>
      <c r="K152" s="265">
        <f>K12+K70+K97+K11+0.1</f>
        <v>17318693.5</v>
      </c>
      <c r="L152" s="265">
        <f t="shared" si="16"/>
        <v>18136535</v>
      </c>
      <c r="M152" s="267">
        <f t="shared" si="16"/>
        <v>16421878.800000001</v>
      </c>
      <c r="N152" s="265">
        <f t="shared" si="16"/>
        <v>17531827.100000001</v>
      </c>
      <c r="O152" s="268">
        <f t="shared" si="16"/>
        <v>24236921.300000004</v>
      </c>
      <c r="P152" s="265">
        <f t="shared" si="16"/>
        <v>0</v>
      </c>
      <c r="Q152" s="248"/>
      <c r="R152" s="243">
        <f>I152+K152+M152+O152</f>
        <v>74372891.099999994</v>
      </c>
      <c r="S152" s="243">
        <f>P152+N152+L152+J152</f>
        <v>52599506.200000003</v>
      </c>
      <c r="T152" s="47"/>
    </row>
    <row r="153" spans="1:20" s="219" customFormat="1" ht="61.5" customHeight="1" x14ac:dyDescent="0.3">
      <c r="A153" s="220"/>
      <c r="B153" s="221"/>
      <c r="C153" s="221"/>
      <c r="D153" s="221"/>
      <c r="E153" s="222"/>
      <c r="F153" s="222"/>
      <c r="G153" s="222"/>
      <c r="H153" s="222"/>
      <c r="I153" s="223"/>
      <c r="J153" s="223"/>
      <c r="K153" s="223"/>
      <c r="L153" s="223"/>
      <c r="M153" s="225"/>
      <c r="N153" s="223"/>
      <c r="O153" s="225"/>
      <c r="P153" s="223"/>
      <c r="Q153" s="224"/>
      <c r="R153" s="236"/>
      <c r="S153" s="241"/>
      <c r="T153" s="218"/>
    </row>
    <row r="154" spans="1:20" ht="33" customHeight="1" x14ac:dyDescent="0.25">
      <c r="A154" s="398" t="s">
        <v>424</v>
      </c>
      <c r="B154" s="398"/>
      <c r="C154" s="398"/>
      <c r="D154" s="398"/>
      <c r="E154" s="398"/>
      <c r="F154" s="398"/>
      <c r="G154" s="398"/>
      <c r="H154" s="398"/>
      <c r="I154" s="398"/>
      <c r="J154" s="398"/>
      <c r="K154" s="398"/>
      <c r="L154" s="398"/>
      <c r="M154" s="399"/>
      <c r="N154" s="398"/>
      <c r="O154" s="399"/>
      <c r="P154" s="398"/>
      <c r="Q154" s="398"/>
      <c r="R154" s="236"/>
      <c r="S154" s="240"/>
      <c r="T154" s="47"/>
    </row>
    <row r="155" spans="1:20" ht="28.5" customHeight="1" x14ac:dyDescent="0.35">
      <c r="A155" s="400" t="s">
        <v>242</v>
      </c>
      <c r="B155" s="400"/>
      <c r="C155" s="400"/>
      <c r="D155" s="400"/>
      <c r="E155" s="84"/>
      <c r="F155" s="84"/>
      <c r="G155" s="84"/>
      <c r="H155" s="84"/>
      <c r="I155" s="85"/>
      <c r="J155" s="85"/>
      <c r="K155" s="85"/>
      <c r="L155" s="85"/>
      <c r="M155" s="85"/>
      <c r="N155" s="85"/>
      <c r="O155" s="85"/>
      <c r="P155" s="85"/>
      <c r="Q155" s="79"/>
      <c r="R155" s="236"/>
      <c r="S155" s="240"/>
      <c r="T155" s="47"/>
    </row>
    <row r="156" spans="1:20" ht="73.5" customHeight="1" x14ac:dyDescent="0.4">
      <c r="A156" s="400"/>
      <c r="B156" s="400"/>
      <c r="C156" s="400"/>
      <c r="D156" s="400"/>
      <c r="E156" s="54"/>
      <c r="F156" s="54"/>
      <c r="G156" s="54"/>
      <c r="H156" s="54"/>
      <c r="I156" s="86"/>
      <c r="J156" s="86"/>
      <c r="K156" s="86"/>
      <c r="L156" s="86"/>
      <c r="M156" s="86"/>
      <c r="N156" s="253"/>
      <c r="O156" s="86"/>
      <c r="P156" s="86"/>
      <c r="Q156" s="87" t="s">
        <v>221</v>
      </c>
      <c r="R156" s="237"/>
      <c r="S156" s="240"/>
      <c r="T156" s="47"/>
    </row>
    <row r="157" spans="1:20" ht="46.5" customHeight="1" x14ac:dyDescent="0.4">
      <c r="A157" s="54"/>
      <c r="B157" s="54"/>
      <c r="C157" s="54"/>
      <c r="D157" s="54"/>
      <c r="E157" s="54"/>
      <c r="F157" s="54"/>
      <c r="G157" s="54"/>
      <c r="H157" s="54"/>
      <c r="I157" s="86"/>
      <c r="J157" s="86"/>
      <c r="K157" s="86"/>
      <c r="L157" s="86"/>
      <c r="M157" s="86"/>
      <c r="N157" s="253"/>
      <c r="O157" s="86"/>
      <c r="P157" s="86"/>
      <c r="Q157" s="88"/>
      <c r="R157" s="237"/>
      <c r="S157" s="240"/>
      <c r="T157" s="47"/>
    </row>
    <row r="158" spans="1:20" ht="24.75" customHeight="1" x14ac:dyDescent="0.3">
      <c r="C158" s="65"/>
      <c r="D158" s="89"/>
      <c r="E158" s="65"/>
      <c r="F158" s="65"/>
      <c r="G158" s="65"/>
      <c r="H158" s="65"/>
      <c r="I158" s="86"/>
      <c r="J158" s="86"/>
      <c r="K158" s="86"/>
      <c r="L158" s="86"/>
      <c r="M158" s="86"/>
      <c r="N158" s="253"/>
      <c r="O158" s="86"/>
      <c r="P158" s="86"/>
      <c r="Q158" s="79"/>
      <c r="R158" s="236"/>
      <c r="S158" s="240"/>
      <c r="T158" s="47"/>
    </row>
    <row r="159" spans="1:20" ht="23.25" customHeight="1" x14ac:dyDescent="0.3">
      <c r="C159" s="47"/>
      <c r="D159" s="47"/>
      <c r="E159" s="47"/>
      <c r="F159" s="52"/>
      <c r="G159" s="52"/>
      <c r="H159" s="52"/>
      <c r="I159" s="47"/>
      <c r="J159" s="47"/>
    </row>
    <row r="160" spans="1:20" x14ac:dyDescent="0.3">
      <c r="A160" s="58"/>
      <c r="B160" s="59"/>
      <c r="C160" s="47"/>
      <c r="D160" s="47"/>
      <c r="E160" s="47"/>
      <c r="F160" s="52"/>
      <c r="G160" s="52"/>
      <c r="H160" s="52"/>
      <c r="I160" s="47"/>
      <c r="J160" s="47"/>
    </row>
    <row r="161" spans="1:10" x14ac:dyDescent="0.3">
      <c r="A161" s="58"/>
      <c r="B161" s="59"/>
      <c r="C161" s="47"/>
      <c r="D161" s="47"/>
      <c r="E161" s="47"/>
      <c r="F161" s="52"/>
      <c r="G161" s="52"/>
      <c r="H161" s="52"/>
      <c r="I161" s="47"/>
      <c r="J161" s="47"/>
    </row>
    <row r="162" spans="1:10" x14ac:dyDescent="0.3">
      <c r="A162" s="58"/>
      <c r="B162" s="59"/>
      <c r="C162" s="47"/>
      <c r="D162" s="47"/>
      <c r="E162" s="47"/>
      <c r="F162" s="52"/>
      <c r="G162" s="52"/>
      <c r="H162" s="52"/>
      <c r="I162" s="47"/>
      <c r="J162" s="47"/>
    </row>
    <row r="163" spans="1:10" x14ac:dyDescent="0.3">
      <c r="A163" s="58"/>
      <c r="B163" s="59"/>
      <c r="C163" s="47"/>
      <c r="D163" s="47"/>
      <c r="E163" s="47"/>
      <c r="F163" s="52"/>
      <c r="G163" s="52"/>
      <c r="H163" s="52"/>
      <c r="I163" s="47"/>
      <c r="J163" s="47"/>
    </row>
    <row r="164" spans="1:10" x14ac:dyDescent="0.3">
      <c r="A164" s="58"/>
      <c r="B164" s="59"/>
      <c r="C164" s="47"/>
      <c r="D164" s="47"/>
      <c r="E164" s="47"/>
      <c r="F164" s="52"/>
      <c r="G164" s="52"/>
      <c r="H164" s="52"/>
      <c r="I164" s="47"/>
      <c r="J164" s="47"/>
    </row>
    <row r="165" spans="1:10" x14ac:dyDescent="0.3">
      <c r="A165" s="58"/>
      <c r="B165" s="59"/>
      <c r="C165" s="47"/>
      <c r="D165" s="47"/>
      <c r="E165" s="47"/>
      <c r="F165" s="52"/>
      <c r="G165" s="52"/>
      <c r="H165" s="52"/>
      <c r="I165" s="47"/>
      <c r="J165" s="47"/>
    </row>
    <row r="166" spans="1:10" x14ac:dyDescent="0.3">
      <c r="A166" s="58"/>
      <c r="B166" s="66"/>
      <c r="C166" s="47"/>
      <c r="D166" s="47"/>
      <c r="E166" s="47"/>
      <c r="F166" s="52"/>
      <c r="G166" s="52"/>
      <c r="H166" s="52"/>
      <c r="I166" s="47"/>
      <c r="J166" s="47"/>
    </row>
    <row r="167" spans="1:10" x14ac:dyDescent="0.3">
      <c r="A167" s="58"/>
      <c r="B167" s="66"/>
      <c r="C167" s="47"/>
      <c r="D167" s="47"/>
      <c r="E167" s="47"/>
      <c r="F167" s="52"/>
      <c r="G167" s="52"/>
      <c r="H167" s="52"/>
      <c r="I167" s="47"/>
      <c r="J167" s="47"/>
    </row>
    <row r="168" spans="1:10" x14ac:dyDescent="0.3">
      <c r="A168" s="58"/>
      <c r="B168" s="59"/>
      <c r="C168" s="47"/>
      <c r="D168" s="47"/>
      <c r="E168" s="47"/>
      <c r="F168" s="52"/>
      <c r="G168" s="52"/>
      <c r="H168" s="52"/>
      <c r="I168" s="47"/>
      <c r="J168" s="47"/>
    </row>
    <row r="169" spans="1:10" x14ac:dyDescent="0.3">
      <c r="A169" s="58"/>
      <c r="B169" s="59"/>
      <c r="C169" s="47"/>
      <c r="D169" s="47"/>
      <c r="E169" s="47"/>
      <c r="F169" s="52"/>
      <c r="G169" s="52"/>
      <c r="H169" s="52"/>
      <c r="I169" s="47"/>
      <c r="J169" s="47"/>
    </row>
    <row r="170" spans="1:10" x14ac:dyDescent="0.3">
      <c r="A170" s="58"/>
      <c r="B170" s="66"/>
      <c r="C170" s="47"/>
      <c r="D170" s="47"/>
      <c r="E170" s="47"/>
      <c r="F170" s="52"/>
      <c r="G170" s="52"/>
      <c r="H170" s="52"/>
      <c r="I170" s="47"/>
      <c r="J170" s="47"/>
    </row>
    <row r="171" spans="1:10" x14ac:dyDescent="0.3">
      <c r="A171" s="58"/>
      <c r="B171" s="59"/>
      <c r="C171" s="47"/>
      <c r="D171" s="47"/>
      <c r="E171" s="47"/>
      <c r="F171" s="52"/>
      <c r="G171" s="52"/>
      <c r="H171" s="52"/>
      <c r="I171" s="47"/>
      <c r="J171" s="47"/>
    </row>
    <row r="172" spans="1:10" x14ac:dyDescent="0.3">
      <c r="A172" s="58"/>
      <c r="B172" s="59"/>
      <c r="C172" s="47"/>
      <c r="D172" s="47"/>
      <c r="E172" s="47"/>
      <c r="F172" s="52"/>
      <c r="G172" s="52"/>
      <c r="H172" s="52"/>
      <c r="I172" s="47"/>
      <c r="J172" s="47"/>
    </row>
    <row r="173" spans="1:10" x14ac:dyDescent="0.3">
      <c r="A173" s="58"/>
      <c r="B173" s="59"/>
      <c r="C173" s="47"/>
      <c r="D173" s="47"/>
      <c r="E173" s="47"/>
      <c r="F173" s="52"/>
      <c r="G173" s="52"/>
      <c r="H173" s="52"/>
      <c r="I173" s="47"/>
      <c r="J173" s="47"/>
    </row>
    <row r="174" spans="1:10" x14ac:dyDescent="0.3">
      <c r="A174" s="58"/>
      <c r="B174" s="59"/>
      <c r="C174" s="47"/>
      <c r="D174" s="47"/>
      <c r="E174" s="47"/>
      <c r="F174" s="52"/>
      <c r="G174" s="52"/>
      <c r="H174" s="52"/>
      <c r="I174" s="47"/>
      <c r="J174" s="47"/>
    </row>
    <row r="175" spans="1:10" x14ac:dyDescent="0.3">
      <c r="A175" s="58"/>
      <c r="B175" s="59"/>
      <c r="C175" s="47"/>
      <c r="D175" s="47"/>
      <c r="E175" s="47"/>
      <c r="F175" s="52"/>
      <c r="G175" s="52"/>
      <c r="H175" s="52"/>
      <c r="I175" s="47"/>
      <c r="J175" s="47"/>
    </row>
    <row r="176" spans="1:10" x14ac:dyDescent="0.3">
      <c r="A176" s="58"/>
      <c r="B176" s="59"/>
      <c r="C176" s="47"/>
      <c r="D176" s="47"/>
      <c r="E176" s="47"/>
      <c r="F176" s="52"/>
      <c r="G176" s="52"/>
      <c r="H176" s="52"/>
      <c r="I176" s="47"/>
      <c r="J176" s="47"/>
    </row>
    <row r="177" spans="1:10" x14ac:dyDescent="0.3">
      <c r="A177" s="58"/>
      <c r="B177" s="59"/>
      <c r="C177" s="47"/>
      <c r="D177" s="47"/>
      <c r="E177" s="47"/>
      <c r="F177" s="52"/>
      <c r="G177" s="52"/>
      <c r="H177" s="52"/>
      <c r="I177" s="47"/>
      <c r="J177" s="47"/>
    </row>
    <row r="178" spans="1:10" x14ac:dyDescent="0.3">
      <c r="A178" s="58"/>
      <c r="B178" s="59"/>
      <c r="C178" s="47"/>
      <c r="D178" s="47"/>
      <c r="E178" s="47"/>
      <c r="F178" s="52"/>
      <c r="G178" s="52"/>
      <c r="H178" s="52"/>
      <c r="I178" s="47"/>
      <c r="J178" s="47"/>
    </row>
    <row r="179" spans="1:10" x14ac:dyDescent="0.3">
      <c r="A179" s="58"/>
      <c r="B179" s="59"/>
      <c r="C179" s="47"/>
      <c r="D179" s="47"/>
      <c r="E179" s="47"/>
      <c r="F179" s="52"/>
      <c r="G179" s="52"/>
      <c r="H179" s="52"/>
      <c r="I179" s="47"/>
      <c r="J179" s="47"/>
    </row>
    <row r="180" spans="1:10" x14ac:dyDescent="0.3">
      <c r="A180" s="58"/>
      <c r="B180" s="59"/>
      <c r="C180" s="47"/>
      <c r="D180" s="47"/>
      <c r="E180" s="47"/>
      <c r="F180" s="52"/>
      <c r="G180" s="52"/>
      <c r="H180" s="52"/>
      <c r="I180" s="47"/>
      <c r="J180" s="47"/>
    </row>
    <row r="181" spans="1:10" x14ac:dyDescent="0.3">
      <c r="A181" s="58"/>
      <c r="B181" s="59"/>
      <c r="C181" s="47"/>
      <c r="D181" s="47"/>
      <c r="E181" s="47"/>
      <c r="F181" s="52"/>
      <c r="G181" s="52"/>
      <c r="H181" s="52"/>
      <c r="I181" s="47"/>
      <c r="J181" s="47"/>
    </row>
    <row r="182" spans="1:10" x14ac:dyDescent="0.3">
      <c r="A182" s="58"/>
      <c r="B182" s="59"/>
      <c r="C182" s="47"/>
      <c r="D182" s="47"/>
      <c r="E182" s="47"/>
      <c r="F182" s="52"/>
      <c r="G182" s="52"/>
      <c r="H182" s="52"/>
      <c r="I182" s="47"/>
      <c r="J182" s="47"/>
    </row>
    <row r="183" spans="1:10" x14ac:dyDescent="0.3">
      <c r="A183" s="58"/>
      <c r="B183" s="59"/>
      <c r="C183" s="47"/>
      <c r="D183" s="47"/>
      <c r="E183" s="47"/>
      <c r="F183" s="52"/>
      <c r="G183" s="52"/>
      <c r="H183" s="52"/>
      <c r="I183" s="47"/>
      <c r="J183" s="47"/>
    </row>
    <row r="184" spans="1:10" x14ac:dyDescent="0.3">
      <c r="A184" s="58"/>
      <c r="B184" s="59"/>
      <c r="C184" s="47"/>
      <c r="D184" s="47"/>
      <c r="E184" s="47"/>
      <c r="F184" s="52"/>
      <c r="G184" s="52"/>
      <c r="H184" s="52"/>
      <c r="I184" s="47"/>
      <c r="J184" s="47"/>
    </row>
    <row r="185" spans="1:10" x14ac:dyDescent="0.3">
      <c r="A185" s="58"/>
      <c r="B185" s="59"/>
      <c r="C185" s="47"/>
      <c r="D185" s="47"/>
      <c r="E185" s="47"/>
      <c r="F185" s="52"/>
      <c r="G185" s="52"/>
      <c r="H185" s="52"/>
      <c r="I185" s="47"/>
      <c r="J185" s="47"/>
    </row>
    <row r="186" spans="1:10" x14ac:dyDescent="0.3">
      <c r="A186" s="58"/>
      <c r="B186" s="59"/>
      <c r="C186" s="47"/>
      <c r="D186" s="47"/>
      <c r="E186" s="47"/>
      <c r="F186" s="52"/>
      <c r="G186" s="52"/>
      <c r="H186" s="52"/>
      <c r="I186" s="47"/>
      <c r="J186" s="47"/>
    </row>
    <row r="187" spans="1:10" x14ac:dyDescent="0.3">
      <c r="A187" s="58"/>
      <c r="B187" s="59"/>
      <c r="C187" s="47"/>
      <c r="D187" s="47"/>
      <c r="E187" s="47"/>
      <c r="F187" s="52"/>
      <c r="G187" s="52"/>
      <c r="H187" s="52"/>
      <c r="I187" s="47"/>
      <c r="J187" s="47"/>
    </row>
    <row r="188" spans="1:10" x14ac:dyDescent="0.3">
      <c r="A188" s="423" t="s">
        <v>243</v>
      </c>
      <c r="B188" s="423"/>
      <c r="C188" s="47"/>
      <c r="D188" s="47"/>
      <c r="E188" s="47"/>
      <c r="F188" s="52"/>
      <c r="G188" s="52"/>
      <c r="H188" s="52"/>
      <c r="I188" s="47"/>
      <c r="J188" s="47"/>
    </row>
    <row r="189" spans="1:10" x14ac:dyDescent="0.3">
      <c r="A189" s="423" t="s">
        <v>244</v>
      </c>
      <c r="B189" s="423"/>
      <c r="C189" s="47"/>
      <c r="D189" s="47"/>
      <c r="E189" s="47"/>
      <c r="F189" s="52"/>
      <c r="G189" s="52"/>
      <c r="H189" s="52"/>
      <c r="I189" s="47"/>
      <c r="J189" s="47"/>
    </row>
    <row r="190" spans="1:10" x14ac:dyDescent="0.3">
      <c r="C190" s="47"/>
      <c r="D190" s="47"/>
      <c r="E190" s="47"/>
      <c r="F190" s="52"/>
      <c r="G190" s="52"/>
      <c r="H190" s="52"/>
      <c r="I190" s="47"/>
      <c r="J190" s="47"/>
    </row>
    <row r="191" spans="1:10" x14ac:dyDescent="0.3">
      <c r="C191" s="47"/>
      <c r="D191" s="47"/>
      <c r="E191" s="47"/>
      <c r="F191" s="52"/>
      <c r="G191" s="52"/>
      <c r="H191" s="52"/>
      <c r="I191" s="47"/>
      <c r="J191" s="47"/>
    </row>
    <row r="192" spans="1:10" x14ac:dyDescent="0.3">
      <c r="A192" s="58"/>
      <c r="B192" s="59"/>
      <c r="C192" s="47"/>
      <c r="D192" s="47"/>
      <c r="E192" s="47"/>
      <c r="F192" s="52"/>
      <c r="G192" s="52"/>
      <c r="H192" s="52"/>
      <c r="I192" s="47"/>
      <c r="J192" s="47"/>
    </row>
    <row r="193" spans="1:10" x14ac:dyDescent="0.3">
      <c r="A193" s="58"/>
      <c r="B193" s="59"/>
      <c r="C193" s="47"/>
      <c r="D193" s="47"/>
      <c r="E193" s="47"/>
      <c r="F193" s="52"/>
      <c r="G193" s="52"/>
      <c r="H193" s="52"/>
      <c r="I193" s="47"/>
      <c r="J193" s="47"/>
    </row>
    <row r="194" spans="1:10" x14ac:dyDescent="0.3">
      <c r="A194" s="58"/>
      <c r="B194" s="59"/>
      <c r="C194" s="47"/>
      <c r="D194" s="47"/>
      <c r="E194" s="47"/>
      <c r="F194" s="52"/>
      <c r="G194" s="52"/>
      <c r="H194" s="52"/>
      <c r="I194" s="47"/>
      <c r="J194" s="47"/>
    </row>
    <row r="195" spans="1:10" x14ac:dyDescent="0.3">
      <c r="A195" s="58"/>
      <c r="B195" s="59"/>
      <c r="C195" s="47"/>
      <c r="D195" s="47"/>
      <c r="E195" s="47"/>
      <c r="F195" s="52"/>
      <c r="G195" s="52"/>
      <c r="H195" s="52"/>
      <c r="I195" s="47"/>
      <c r="J195" s="47"/>
    </row>
    <row r="196" spans="1:10" x14ac:dyDescent="0.3">
      <c r="A196" s="58"/>
      <c r="B196" s="59"/>
      <c r="C196" s="47"/>
      <c r="D196" s="47"/>
      <c r="E196" s="47"/>
      <c r="F196" s="52"/>
      <c r="G196" s="52"/>
      <c r="H196" s="52"/>
      <c r="I196" s="47"/>
      <c r="J196" s="47"/>
    </row>
  </sheetData>
  <protectedRanges>
    <protectedRange sqref="N1:N9 N11 N98 N105:N158 N13:N55 N71:N96 N58:N69 N103 T59" name="Диапазон1"/>
  </protectedRanges>
  <mergeCells count="498">
    <mergeCell ref="S138:S139"/>
    <mergeCell ref="R138:R139"/>
    <mergeCell ref="S140:S141"/>
    <mergeCell ref="R140:R141"/>
    <mergeCell ref="S143:S144"/>
    <mergeCell ref="R143:R144"/>
    <mergeCell ref="S146:S148"/>
    <mergeCell ref="R146:R148"/>
    <mergeCell ref="S117:S118"/>
    <mergeCell ref="R117:R118"/>
    <mergeCell ref="S129:S130"/>
    <mergeCell ref="R129:R130"/>
    <mergeCell ref="S131:S132"/>
    <mergeCell ref="R131:R132"/>
    <mergeCell ref="R133:R134"/>
    <mergeCell ref="S133:S134"/>
    <mergeCell ref="S136:S137"/>
    <mergeCell ref="R136:R137"/>
    <mergeCell ref="S82:S83"/>
    <mergeCell ref="R82:R83"/>
    <mergeCell ref="S113:S114"/>
    <mergeCell ref="R113:R114"/>
    <mergeCell ref="S110:S111"/>
    <mergeCell ref="R110:R111"/>
    <mergeCell ref="S107:S108"/>
    <mergeCell ref="R107:R108"/>
    <mergeCell ref="S101:S102"/>
    <mergeCell ref="R101:R102"/>
    <mergeCell ref="S88:S89"/>
    <mergeCell ref="R88:R89"/>
    <mergeCell ref="S42:S43"/>
    <mergeCell ref="R42:R43"/>
    <mergeCell ref="S46:S47"/>
    <mergeCell ref="R46:R47"/>
    <mergeCell ref="R44:R45"/>
    <mergeCell ref="S44:S45"/>
    <mergeCell ref="S50:S51"/>
    <mergeCell ref="R50:R51"/>
    <mergeCell ref="S63:S64"/>
    <mergeCell ref="R63:R64"/>
    <mergeCell ref="S61:S62"/>
    <mergeCell ref="R61:R62"/>
    <mergeCell ref="S56:S57"/>
    <mergeCell ref="R56:R57"/>
    <mergeCell ref="S54:S55"/>
    <mergeCell ref="R54:R55"/>
    <mergeCell ref="S22:S23"/>
    <mergeCell ref="R22:R23"/>
    <mergeCell ref="S27:S28"/>
    <mergeCell ref="R27:R28"/>
    <mergeCell ref="S34:S35"/>
    <mergeCell ref="R34:R35"/>
    <mergeCell ref="S32:S33"/>
    <mergeCell ref="R32:R33"/>
    <mergeCell ref="B42:B43"/>
    <mergeCell ref="C42:C43"/>
    <mergeCell ref="D42:D43"/>
    <mergeCell ref="E42:E43"/>
    <mergeCell ref="D22:D23"/>
    <mergeCell ref="E22:E23"/>
    <mergeCell ref="F22:F23"/>
    <mergeCell ref="G22:G23"/>
    <mergeCell ref="B22:B23"/>
    <mergeCell ref="B32:B33"/>
    <mergeCell ref="C32:C33"/>
    <mergeCell ref="D32:D33"/>
    <mergeCell ref="N22:N23"/>
    <mergeCell ref="H22:H23"/>
    <mergeCell ref="F27:F28"/>
    <mergeCell ref="G27:G28"/>
    <mergeCell ref="A101:A102"/>
    <mergeCell ref="B101:B102"/>
    <mergeCell ref="O44:O45"/>
    <mergeCell ref="O34:O35"/>
    <mergeCell ref="N32:N33"/>
    <mergeCell ref="O32:O33"/>
    <mergeCell ref="J1:K1"/>
    <mergeCell ref="I2:L2"/>
    <mergeCell ref="H3:M3"/>
    <mergeCell ref="J4:K4"/>
    <mergeCell ref="A6:A8"/>
    <mergeCell ref="B6:B8"/>
    <mergeCell ref="D6:D8"/>
    <mergeCell ref="E6:E8"/>
    <mergeCell ref="F6:F8"/>
    <mergeCell ref="G6:G8"/>
    <mergeCell ref="E34:E35"/>
    <mergeCell ref="F34:F35"/>
    <mergeCell ref="G34:G35"/>
    <mergeCell ref="H34:H35"/>
    <mergeCell ref="M34:M35"/>
    <mergeCell ref="N42:N43"/>
    <mergeCell ref="O42:O43"/>
    <mergeCell ref="M27:M28"/>
    <mergeCell ref="E54:E55"/>
    <mergeCell ref="A56:A57"/>
    <mergeCell ref="B56:B57"/>
    <mergeCell ref="C56:C57"/>
    <mergeCell ref="D56:D57"/>
    <mergeCell ref="E56:E57"/>
    <mergeCell ref="A63:A64"/>
    <mergeCell ref="B63:B64"/>
    <mergeCell ref="C63:C64"/>
    <mergeCell ref="D63:D64"/>
    <mergeCell ref="E63:E64"/>
    <mergeCell ref="A54:A55"/>
    <mergeCell ref="B54:B55"/>
    <mergeCell ref="C54:C55"/>
    <mergeCell ref="D54:D55"/>
    <mergeCell ref="A61:A62"/>
    <mergeCell ref="B61:B62"/>
    <mergeCell ref="C61:C62"/>
    <mergeCell ref="D61:D62"/>
    <mergeCell ref="E61:E62"/>
    <mergeCell ref="A50:A51"/>
    <mergeCell ref="B50:B51"/>
    <mergeCell ref="C50:C51"/>
    <mergeCell ref="D50:D51"/>
    <mergeCell ref="E50:E51"/>
    <mergeCell ref="A52:A53"/>
    <mergeCell ref="B52:B53"/>
    <mergeCell ref="C52:C53"/>
    <mergeCell ref="D52:D53"/>
    <mergeCell ref="E52:E53"/>
    <mergeCell ref="A42:A43"/>
    <mergeCell ref="A189:B189"/>
    <mergeCell ref="Q6:Q8"/>
    <mergeCell ref="I7:J7"/>
    <mergeCell ref="K7:L7"/>
    <mergeCell ref="M7:N7"/>
    <mergeCell ref="O7:P7"/>
    <mergeCell ref="H6:H8"/>
    <mergeCell ref="I6:P6"/>
    <mergeCell ref="Q22:Q23"/>
    <mergeCell ref="I22:I23"/>
    <mergeCell ref="J22:J23"/>
    <mergeCell ref="K22:K23"/>
    <mergeCell ref="L22:L23"/>
    <mergeCell ref="M22:M23"/>
    <mergeCell ref="C22:C23"/>
    <mergeCell ref="J27:J28"/>
    <mergeCell ref="K27:K28"/>
    <mergeCell ref="L27:L28"/>
    <mergeCell ref="A188:B188"/>
    <mergeCell ref="P22:P23"/>
    <mergeCell ref="B12:H12"/>
    <mergeCell ref="A22:A23"/>
    <mergeCell ref="O22:O23"/>
    <mergeCell ref="Q27:Q28"/>
    <mergeCell ref="E32:E33"/>
    <mergeCell ref="F32:F33"/>
    <mergeCell ref="G32:G33"/>
    <mergeCell ref="H32:H33"/>
    <mergeCell ref="I32:I33"/>
    <mergeCell ref="J32:J33"/>
    <mergeCell ref="K32:K33"/>
    <mergeCell ref="A27:A28"/>
    <mergeCell ref="B27:B28"/>
    <mergeCell ref="C27:C28"/>
    <mergeCell ref="D27:D28"/>
    <mergeCell ref="E27:E28"/>
    <mergeCell ref="A32:A33"/>
    <mergeCell ref="H27:H28"/>
    <mergeCell ref="I27:I28"/>
    <mergeCell ref="P32:P33"/>
    <mergeCell ref="Q32:Q33"/>
    <mergeCell ref="L32:L33"/>
    <mergeCell ref="M32:M33"/>
    <mergeCell ref="P27:P28"/>
    <mergeCell ref="N27:N28"/>
    <mergeCell ref="O27:O28"/>
    <mergeCell ref="P42:P43"/>
    <mergeCell ref="Q42:Q43"/>
    <mergeCell ref="F42:F43"/>
    <mergeCell ref="G42:G43"/>
    <mergeCell ref="H42:H43"/>
    <mergeCell ref="I42:I43"/>
    <mergeCell ref="J42:J43"/>
    <mergeCell ref="K42:K43"/>
    <mergeCell ref="L42:L43"/>
    <mergeCell ref="M42:M43"/>
    <mergeCell ref="P44:P45"/>
    <mergeCell ref="Q44:Q45"/>
    <mergeCell ref="A46:A47"/>
    <mergeCell ref="B46:B47"/>
    <mergeCell ref="C46:C47"/>
    <mergeCell ref="D46:D47"/>
    <mergeCell ref="E46:E47"/>
    <mergeCell ref="A44:A45"/>
    <mergeCell ref="B44:B45"/>
    <mergeCell ref="C44:C45"/>
    <mergeCell ref="D44:D45"/>
    <mergeCell ref="E44:E45"/>
    <mergeCell ref="F44:F45"/>
    <mergeCell ref="G44:G45"/>
    <mergeCell ref="H44:H45"/>
    <mergeCell ref="I44:I45"/>
    <mergeCell ref="F46:F47"/>
    <mergeCell ref="G46:G47"/>
    <mergeCell ref="N46:N47"/>
    <mergeCell ref="J44:J45"/>
    <mergeCell ref="K44:K45"/>
    <mergeCell ref="L44:L45"/>
    <mergeCell ref="M44:M45"/>
    <mergeCell ref="N44:N45"/>
    <mergeCell ref="P50:P51"/>
    <mergeCell ref="Q50:Q51"/>
    <mergeCell ref="F50:F51"/>
    <mergeCell ref="G50:G51"/>
    <mergeCell ref="H50:H51"/>
    <mergeCell ref="I50:I51"/>
    <mergeCell ref="H46:H47"/>
    <mergeCell ref="I46:I47"/>
    <mergeCell ref="J46:J47"/>
    <mergeCell ref="K46:K47"/>
    <mergeCell ref="L50:L51"/>
    <mergeCell ref="L46:L47"/>
    <mergeCell ref="M46:M47"/>
    <mergeCell ref="O46:O47"/>
    <mergeCell ref="P46:P47"/>
    <mergeCell ref="Q46:Q47"/>
    <mergeCell ref="J50:J51"/>
    <mergeCell ref="N50:N51"/>
    <mergeCell ref="K50:K53"/>
    <mergeCell ref="M50:M53"/>
    <mergeCell ref="O50:O53"/>
    <mergeCell ref="Q52:Q53"/>
    <mergeCell ref="N52:N53"/>
    <mergeCell ref="P52:P53"/>
    <mergeCell ref="G52:G53"/>
    <mergeCell ref="H52:H53"/>
    <mergeCell ref="I52:I53"/>
    <mergeCell ref="J52:J53"/>
    <mergeCell ref="L52:L53"/>
    <mergeCell ref="F54:F55"/>
    <mergeCell ref="G54:G55"/>
    <mergeCell ref="H54:H55"/>
    <mergeCell ref="I54:I55"/>
    <mergeCell ref="J54:J55"/>
    <mergeCell ref="K54:K55"/>
    <mergeCell ref="L54:L55"/>
    <mergeCell ref="F52:F53"/>
    <mergeCell ref="M54:M55"/>
    <mergeCell ref="N54:N55"/>
    <mergeCell ref="O54:O55"/>
    <mergeCell ref="P54:P55"/>
    <mergeCell ref="Q54:Q55"/>
    <mergeCell ref="H56:H57"/>
    <mergeCell ref="I56:I57"/>
    <mergeCell ref="J56:J57"/>
    <mergeCell ref="K56:K57"/>
    <mergeCell ref="L56:L57"/>
    <mergeCell ref="G56:G57"/>
    <mergeCell ref="F56:F57"/>
    <mergeCell ref="P63:P64"/>
    <mergeCell ref="Q63:Q64"/>
    <mergeCell ref="M56:M57"/>
    <mergeCell ref="N56:N57"/>
    <mergeCell ref="O56:O57"/>
    <mergeCell ref="P56:P57"/>
    <mergeCell ref="Q56:Q57"/>
    <mergeCell ref="O61:O62"/>
    <mergeCell ref="P61:P62"/>
    <mergeCell ref="L61:L62"/>
    <mergeCell ref="M61:M62"/>
    <mergeCell ref="N61:N62"/>
    <mergeCell ref="M63:M64"/>
    <mergeCell ref="N63:N64"/>
    <mergeCell ref="O63:O64"/>
    <mergeCell ref="Q61:Q62"/>
    <mergeCell ref="F61:F62"/>
    <mergeCell ref="G61:G62"/>
    <mergeCell ref="H61:H62"/>
    <mergeCell ref="I61:I62"/>
    <mergeCell ref="J61:J62"/>
    <mergeCell ref="K61:K62"/>
    <mergeCell ref="A82:A83"/>
    <mergeCell ref="B70:H70"/>
    <mergeCell ref="G63:G64"/>
    <mergeCell ref="H63:H64"/>
    <mergeCell ref="I63:I64"/>
    <mergeCell ref="J63:J64"/>
    <mergeCell ref="K63:K64"/>
    <mergeCell ref="B82:B83"/>
    <mergeCell ref="C82:C83"/>
    <mergeCell ref="D82:D83"/>
    <mergeCell ref="E82:E83"/>
    <mergeCell ref="F82:F83"/>
    <mergeCell ref="G82:G83"/>
    <mergeCell ref="H82:H83"/>
    <mergeCell ref="I82:I83"/>
    <mergeCell ref="F63:F64"/>
    <mergeCell ref="B107:B108"/>
    <mergeCell ref="C107:C108"/>
    <mergeCell ref="D107:D108"/>
    <mergeCell ref="E107:E108"/>
    <mergeCell ref="C101:C102"/>
    <mergeCell ref="D101:D102"/>
    <mergeCell ref="E101:E102"/>
    <mergeCell ref="L63:L64"/>
    <mergeCell ref="M82:M83"/>
    <mergeCell ref="F88:F89"/>
    <mergeCell ref="G88:G89"/>
    <mergeCell ref="B97:H97"/>
    <mergeCell ref="F107:F108"/>
    <mergeCell ref="G107:G108"/>
    <mergeCell ref="H107:H108"/>
    <mergeCell ref="I101:I102"/>
    <mergeCell ref="J101:J102"/>
    <mergeCell ref="I107:I108"/>
    <mergeCell ref="J107:J108"/>
    <mergeCell ref="G101:G102"/>
    <mergeCell ref="H101:H102"/>
    <mergeCell ref="F101:F102"/>
    <mergeCell ref="Q107:Q108"/>
    <mergeCell ref="K107:K108"/>
    <mergeCell ref="L107:L108"/>
    <mergeCell ref="M107:M108"/>
    <mergeCell ref="N107:N108"/>
    <mergeCell ref="Q101:Q102"/>
    <mergeCell ref="P101:P102"/>
    <mergeCell ref="N101:N102"/>
    <mergeCell ref="K101:K102"/>
    <mergeCell ref="L101:L102"/>
    <mergeCell ref="M101:M102"/>
    <mergeCell ref="O107:O108"/>
    <mergeCell ref="P107:P108"/>
    <mergeCell ref="O101:O102"/>
    <mergeCell ref="A88:A89"/>
    <mergeCell ref="B88:B89"/>
    <mergeCell ref="C88:C89"/>
    <mergeCell ref="D88:D89"/>
    <mergeCell ref="E88:E89"/>
    <mergeCell ref="M88:M89"/>
    <mergeCell ref="L88:L89"/>
    <mergeCell ref="H88:H89"/>
    <mergeCell ref="I88:I89"/>
    <mergeCell ref="J88:J89"/>
    <mergeCell ref="Q82:Q83"/>
    <mergeCell ref="L82:L83"/>
    <mergeCell ref="P88:P89"/>
    <mergeCell ref="Q88:Q89"/>
    <mergeCell ref="J82:J83"/>
    <mergeCell ref="K82:K83"/>
    <mergeCell ref="N88:N89"/>
    <mergeCell ref="O88:O89"/>
    <mergeCell ref="K88:K89"/>
    <mergeCell ref="N82:N83"/>
    <mergeCell ref="M110:M111"/>
    <mergeCell ref="O110:O111"/>
    <mergeCell ref="L110:L111"/>
    <mergeCell ref="N110:N111"/>
    <mergeCell ref="K110:K111"/>
    <mergeCell ref="O82:O83"/>
    <mergeCell ref="Q113:Q114"/>
    <mergeCell ref="A113:A114"/>
    <mergeCell ref="B113:B114"/>
    <mergeCell ref="C113:C114"/>
    <mergeCell ref="D113:D114"/>
    <mergeCell ref="E113:E114"/>
    <mergeCell ref="F113:F114"/>
    <mergeCell ref="G113:G114"/>
    <mergeCell ref="H113:H114"/>
    <mergeCell ref="I113:I114"/>
    <mergeCell ref="J113:J114"/>
    <mergeCell ref="K113:K114"/>
    <mergeCell ref="L113:L114"/>
    <mergeCell ref="M113:M114"/>
    <mergeCell ref="N113:N114"/>
    <mergeCell ref="O113:O114"/>
    <mergeCell ref="P113:P114"/>
    <mergeCell ref="P82:P83"/>
    <mergeCell ref="A117:A118"/>
    <mergeCell ref="B117:B118"/>
    <mergeCell ref="C117:C118"/>
    <mergeCell ref="D117:D118"/>
    <mergeCell ref="E117:E118"/>
    <mergeCell ref="F117:F118"/>
    <mergeCell ref="H117:H118"/>
    <mergeCell ref="I117:I118"/>
    <mergeCell ref="J117:J118"/>
    <mergeCell ref="G117:G118"/>
    <mergeCell ref="P129:P130"/>
    <mergeCell ref="Q129:Q130"/>
    <mergeCell ref="F129:F130"/>
    <mergeCell ref="G129:G130"/>
    <mergeCell ref="H129:H130"/>
    <mergeCell ref="I129:I130"/>
    <mergeCell ref="J129:J130"/>
    <mergeCell ref="K129:K130"/>
    <mergeCell ref="P117:P118"/>
    <mergeCell ref="Q117:Q118"/>
    <mergeCell ref="K117:K118"/>
    <mergeCell ref="L117:L118"/>
    <mergeCell ref="L129:L130"/>
    <mergeCell ref="M129:M130"/>
    <mergeCell ref="N129:N130"/>
    <mergeCell ref="O129:O130"/>
    <mergeCell ref="M117:M118"/>
    <mergeCell ref="N117:N118"/>
    <mergeCell ref="O117:O118"/>
    <mergeCell ref="J133:J134"/>
    <mergeCell ref="K133:K134"/>
    <mergeCell ref="L133:L134"/>
    <mergeCell ref="M133:M134"/>
    <mergeCell ref="N133:N134"/>
    <mergeCell ref="O133:O134"/>
    <mergeCell ref="A129:A130"/>
    <mergeCell ref="B129:B130"/>
    <mergeCell ref="C129:C130"/>
    <mergeCell ref="D129:D130"/>
    <mergeCell ref="E129:E130"/>
    <mergeCell ref="A133:A134"/>
    <mergeCell ref="B133:B134"/>
    <mergeCell ref="C133:C134"/>
    <mergeCell ref="D133:D134"/>
    <mergeCell ref="E133:E134"/>
    <mergeCell ref="F133:F134"/>
    <mergeCell ref="G133:G134"/>
    <mergeCell ref="H133:H134"/>
    <mergeCell ref="I133:I134"/>
    <mergeCell ref="D131:D132"/>
    <mergeCell ref="A140:A141"/>
    <mergeCell ref="B140:B141"/>
    <mergeCell ref="C140:C141"/>
    <mergeCell ref="D140:D141"/>
    <mergeCell ref="E140:E141"/>
    <mergeCell ref="P133:P134"/>
    <mergeCell ref="Q133:Q134"/>
    <mergeCell ref="A136:A137"/>
    <mergeCell ref="B136:B137"/>
    <mergeCell ref="C136:C137"/>
    <mergeCell ref="D136:D137"/>
    <mergeCell ref="E136:E137"/>
    <mergeCell ref="N136:N137"/>
    <mergeCell ref="O136:O137"/>
    <mergeCell ref="P136:P137"/>
    <mergeCell ref="Q136:Q137"/>
    <mergeCell ref="F136:F137"/>
    <mergeCell ref="G136:G137"/>
    <mergeCell ref="H136:H137"/>
    <mergeCell ref="I136:I137"/>
    <mergeCell ref="J136:J137"/>
    <mergeCell ref="K136:K137"/>
    <mergeCell ref="L136:L137"/>
    <mergeCell ref="M136:M137"/>
    <mergeCell ref="D143:D144"/>
    <mergeCell ref="E143:E144"/>
    <mergeCell ref="G140:G141"/>
    <mergeCell ref="F140:F141"/>
    <mergeCell ref="K143:K144"/>
    <mergeCell ref="M140:M141"/>
    <mergeCell ref="H140:H141"/>
    <mergeCell ref="I140:I141"/>
    <mergeCell ref="J140:J141"/>
    <mergeCell ref="K140:K141"/>
    <mergeCell ref="L140:L141"/>
    <mergeCell ref="B152:H152"/>
    <mergeCell ref="A154:Q154"/>
    <mergeCell ref="A155:D156"/>
    <mergeCell ref="M146:M148"/>
    <mergeCell ref="N146:N148"/>
    <mergeCell ref="O146:O148"/>
    <mergeCell ref="P146:P148"/>
    <mergeCell ref="Q146:Q148"/>
    <mergeCell ref="D150:D151"/>
    <mergeCell ref="G146:G148"/>
    <mergeCell ref="H146:H148"/>
    <mergeCell ref="I146:I148"/>
    <mergeCell ref="J146:J148"/>
    <mergeCell ref="K146:K148"/>
    <mergeCell ref="L146:L148"/>
    <mergeCell ref="M150:M151"/>
    <mergeCell ref="O150:O151"/>
    <mergeCell ref="N140:N141"/>
    <mergeCell ref="O140:O141"/>
    <mergeCell ref="P140:P141"/>
    <mergeCell ref="Q140:Q141"/>
    <mergeCell ref="L143:L144"/>
    <mergeCell ref="M143:M144"/>
    <mergeCell ref="F146:F148"/>
    <mergeCell ref="N143:N144"/>
    <mergeCell ref="A146:A148"/>
    <mergeCell ref="B146:B148"/>
    <mergeCell ref="C146:C148"/>
    <mergeCell ref="D146:D148"/>
    <mergeCell ref="E146:E148"/>
    <mergeCell ref="O143:O144"/>
    <mergeCell ref="P143:P144"/>
    <mergeCell ref="Q143:Q144"/>
    <mergeCell ref="F143:F144"/>
    <mergeCell ref="G143:G144"/>
    <mergeCell ref="H143:H144"/>
    <mergeCell ref="I143:I144"/>
    <mergeCell ref="J143:J144"/>
    <mergeCell ref="A143:A144"/>
    <mergeCell ref="B143:B144"/>
    <mergeCell ref="C143:C144"/>
  </mergeCells>
  <hyperlinks>
    <hyperlink ref="C6" r:id="rId1" display="consultantplus://offline/ref=296E051552D9B0DE54C4EEA366783458DCF3E2F270B1C5BE0EE0B1036681A6753D4434517D8E791EF555ABSAVCG"/>
  </hyperlinks>
  <pageMargins left="0.55118110236220474" right="0.55118110236220474" top="0.39370078740157483" bottom="0.39370078740157483" header="0" footer="0"/>
  <pageSetup paperSize="9" scale="35" orientation="landscape" r:id="rId2"/>
  <rowBreaks count="2" manualBreakCount="2">
    <brk id="26" max="16" man="1"/>
    <brk id="31" max="16" man="1"/>
  </rowBreaks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Финансирование</vt:lpstr>
      <vt:lpstr>Показатели, Критерии</vt:lpstr>
      <vt:lpstr>План реализации</vt:lpstr>
      <vt:lpstr>'План реализации'!Область_печати</vt:lpstr>
      <vt:lpstr>'Показатели, Критерии'!Область_печати</vt:lpstr>
      <vt:lpstr>Финансирование!Область_печати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2021-10-25T09:20:54Z</dcterms:modified>
</cp:coreProperties>
</file>