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300" windowWidth="20730" windowHeight="10890" activeTab="1"/>
  </bookViews>
  <sheets>
    <sheet name="Финансирование" sheetId="1" r:id="rId1"/>
    <sheet name="Показатели" sheetId="6" r:id="rId2"/>
    <sheet name="План реализации" sheetId="3" r:id="rId3"/>
    <sheet name="Лист1" sheetId="7" r:id="rId4"/>
  </sheets>
  <externalReferences>
    <externalReference r:id="rId5"/>
  </externalReferences>
  <definedNames>
    <definedName name="_edn1" localSheetId="2">'План реализации'!#REF!</definedName>
    <definedName name="_edn2" localSheetId="2">'План реализации'!#REF!</definedName>
    <definedName name="_edn3" localSheetId="2">'План реализации'!#REF!</definedName>
    <definedName name="_ednref1" localSheetId="2">'План реализации'!$A$7</definedName>
    <definedName name="_ednref2" localSheetId="2">'План реализации'!$B$7</definedName>
    <definedName name="_ednref3" localSheetId="2">'План реализации'!$C$7</definedName>
    <definedName name="_xlnm._FilterDatabase" localSheetId="2" hidden="1">'План реализации'!$A$10:$AE$125</definedName>
    <definedName name="_xlnm._FilterDatabase" localSheetId="0" hidden="1">Финансирование!$A$11:$AH$82</definedName>
    <definedName name="_xlnm.Print_Titles" localSheetId="2">'План реализации'!$7:$10</definedName>
    <definedName name="_xlnm.Print_Titles" localSheetId="0">Финансирование!$8:$11</definedName>
    <definedName name="_xlnm.Print_Area" localSheetId="2">'План реализации'!$A$1:$Q$126</definedName>
    <definedName name="_xlnm.Print_Area" localSheetId="0">Финансирование!$A$1:$AA$98</definedName>
    <definedName name="Сетка">[1]Сетка!$A$1:$B$18</definedName>
  </definedNames>
  <calcPr calcId="145621" iterate="1"/>
</workbook>
</file>

<file path=xl/calcChain.xml><?xml version="1.0" encoding="utf-8"?>
<calcChain xmlns="http://schemas.openxmlformats.org/spreadsheetml/2006/main">
  <c r="AB31" i="1" l="1"/>
  <c r="AB32" i="1"/>
  <c r="P110" i="3" l="1"/>
  <c r="P108" i="3"/>
  <c r="AD21" i="1" l="1"/>
  <c r="AD22" i="1"/>
  <c r="AD23" i="1"/>
  <c r="AD24" i="1"/>
  <c r="AD25" i="1" l="1"/>
  <c r="AB38" i="1"/>
  <c r="AB34" i="1"/>
  <c r="AE33" i="1"/>
  <c r="AB33" i="1"/>
  <c r="T42" i="1" l="1"/>
  <c r="O101" i="3" l="1"/>
  <c r="P69" i="3"/>
  <c r="P53" i="3"/>
  <c r="P50" i="3"/>
  <c r="P35" i="3"/>
  <c r="P47" i="3"/>
  <c r="P48" i="3"/>
  <c r="P34" i="3"/>
  <c r="P79" i="3" l="1"/>
  <c r="P77" i="3"/>
  <c r="O71" i="3" l="1"/>
  <c r="R37" i="3"/>
  <c r="R36" i="3"/>
  <c r="R35" i="3"/>
  <c r="N33" i="3"/>
  <c r="P33" i="3" s="1"/>
  <c r="N81" i="3" l="1"/>
  <c r="P81" i="3" s="1"/>
  <c r="AC15" i="1" l="1"/>
  <c r="Q13" i="1" l="1"/>
  <c r="R13" i="1"/>
  <c r="S13" i="1"/>
  <c r="T13" i="1"/>
  <c r="L55" i="3"/>
  <c r="N55" i="3" s="1"/>
  <c r="P55" i="3" s="1"/>
  <c r="L64" i="3" l="1"/>
  <c r="N64" i="3" s="1"/>
  <c r="P64" i="3" s="1"/>
  <c r="N13" i="1"/>
  <c r="P13" i="1"/>
  <c r="O13" i="1"/>
  <c r="L29" i="3"/>
  <c r="N29" i="3" s="1"/>
  <c r="P29" i="3" s="1"/>
  <c r="L23" i="3"/>
  <c r="N23" i="3" s="1"/>
  <c r="P23" i="3" s="1"/>
  <c r="L76" i="3" l="1"/>
  <c r="L46" i="3"/>
  <c r="N46" i="3" s="1"/>
  <c r="L44" i="3"/>
  <c r="N44" i="3" s="1"/>
  <c r="P44" i="3" s="1"/>
  <c r="L43" i="3"/>
  <c r="N43" i="3" s="1"/>
  <c r="P43" i="3" s="1"/>
  <c r="L42" i="3"/>
  <c r="N42" i="3" s="1"/>
  <c r="P42" i="3" s="1"/>
  <c r="L39" i="3"/>
  <c r="N39" i="3" s="1"/>
  <c r="P39" i="3" s="1"/>
  <c r="L26" i="3"/>
  <c r="N26" i="3" s="1"/>
  <c r="P26" i="3" s="1"/>
  <c r="L19" i="3"/>
  <c r="N19" i="3" s="1"/>
  <c r="P19" i="3" s="1"/>
  <c r="L18" i="3"/>
  <c r="N18" i="3" s="1"/>
  <c r="P18" i="3" s="1"/>
  <c r="L12" i="3"/>
  <c r="N12" i="3" s="1"/>
  <c r="P12" i="3" s="1"/>
  <c r="P71" i="3" s="1"/>
  <c r="N76" i="3" l="1"/>
  <c r="N101" i="3" s="1"/>
  <c r="P47" i="1"/>
  <c r="P76" i="3" l="1"/>
  <c r="P101" i="3" s="1"/>
  <c r="AD61" i="1"/>
  <c r="AD60" i="1"/>
  <c r="AD59" i="1"/>
  <c r="AD58" i="1"/>
  <c r="AD32" i="1"/>
  <c r="AD31" i="1"/>
  <c r="K71" i="3" l="1"/>
  <c r="L71" i="3"/>
  <c r="M71" i="3"/>
  <c r="N71" i="3"/>
  <c r="I71" i="3"/>
  <c r="J71" i="3"/>
  <c r="J101" i="3"/>
  <c r="K101" i="3"/>
  <c r="L101" i="3"/>
  <c r="M101" i="3"/>
  <c r="I101" i="3"/>
  <c r="U85" i="3"/>
  <c r="X85" i="3"/>
  <c r="Y85" i="3" s="1"/>
  <c r="U84" i="3"/>
  <c r="X84" i="3"/>
  <c r="Y84" i="3" s="1"/>
  <c r="P56" i="3"/>
  <c r="O56" i="3"/>
  <c r="O72" i="3" s="1"/>
  <c r="N56" i="3"/>
  <c r="M56" i="3"/>
  <c r="M72" i="3" s="1"/>
  <c r="L56" i="3"/>
  <c r="L72" i="3" s="1"/>
  <c r="K56" i="3"/>
  <c r="K72" i="3" s="1"/>
  <c r="J56" i="3"/>
  <c r="J72" i="3" s="1"/>
  <c r="P52" i="3"/>
  <c r="L52" i="3"/>
  <c r="N52" i="3" s="1"/>
  <c r="N54" i="3" s="1"/>
  <c r="P54" i="3" s="1"/>
  <c r="K52" i="3"/>
  <c r="J52" i="3"/>
  <c r="I52" i="3"/>
  <c r="L49" i="3"/>
  <c r="N49" i="3" s="1"/>
  <c r="K49" i="3"/>
  <c r="J49" i="3"/>
  <c r="I49" i="3"/>
  <c r="P46" i="3"/>
  <c r="J46" i="3"/>
  <c r="I46" i="3"/>
  <c r="P32" i="3"/>
  <c r="L32" i="3"/>
  <c r="J32" i="3"/>
  <c r="I3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3" i="3"/>
  <c r="R34" i="3"/>
  <c r="R39" i="3"/>
  <c r="R40" i="3"/>
  <c r="R41" i="3"/>
  <c r="R42" i="3"/>
  <c r="R43" i="3"/>
  <c r="R44" i="3"/>
  <c r="R45" i="3"/>
  <c r="R47" i="3"/>
  <c r="R48" i="3"/>
  <c r="R50" i="3"/>
  <c r="R51" i="3"/>
  <c r="R53" i="3"/>
  <c r="R54" i="3"/>
  <c r="R55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2" i="3"/>
  <c r="M70" i="3" l="1"/>
  <c r="L70" i="3"/>
  <c r="O70" i="3"/>
  <c r="R52" i="3"/>
  <c r="R49" i="3"/>
  <c r="R46" i="3"/>
  <c r="K70" i="3"/>
  <c r="J70" i="3"/>
  <c r="R32" i="3"/>
  <c r="I56" i="3"/>
  <c r="I72" i="3" l="1"/>
  <c r="I70" i="3" s="1"/>
  <c r="R70" i="3" s="1"/>
  <c r="R56" i="3"/>
  <c r="R71" i="3"/>
  <c r="E13" i="1" l="1"/>
  <c r="F13" i="1"/>
  <c r="G13" i="1"/>
  <c r="H13" i="1"/>
  <c r="I13" i="1"/>
  <c r="J13" i="1"/>
  <c r="K13" i="1"/>
  <c r="L13" i="1"/>
  <c r="M13" i="1"/>
  <c r="T77" i="1"/>
  <c r="S77" i="1"/>
  <c r="R77" i="1"/>
  <c r="Q77" i="1"/>
  <c r="P77" i="1"/>
  <c r="O77" i="1"/>
  <c r="N77" i="1"/>
  <c r="M77" i="1"/>
  <c r="L77" i="1"/>
  <c r="L12" i="1" s="1"/>
  <c r="K77" i="1"/>
  <c r="J77" i="1"/>
  <c r="I77" i="1"/>
  <c r="H77" i="1"/>
  <c r="G77" i="1"/>
  <c r="F77" i="1"/>
  <c r="E77" i="1"/>
  <c r="AD9" i="1" l="1"/>
  <c r="O12" i="1"/>
  <c r="F12" i="1"/>
  <c r="G12" i="1"/>
  <c r="N12" i="1"/>
  <c r="H12" i="1"/>
  <c r="M12" i="1"/>
  <c r="I12" i="1"/>
  <c r="Q12" i="1"/>
  <c r="J12" i="1"/>
  <c r="R12" i="1"/>
  <c r="S12" i="1"/>
  <c r="AD15" i="1"/>
  <c r="AD16" i="1"/>
  <c r="AD17" i="1"/>
  <c r="AD18" i="1"/>
  <c r="AD19" i="1"/>
  <c r="AD20" i="1"/>
  <c r="AD26" i="1"/>
  <c r="AD27" i="1"/>
  <c r="AD28" i="1"/>
  <c r="AD29" i="1"/>
  <c r="AD30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8" i="1"/>
  <c r="AD49" i="1"/>
  <c r="AD50" i="1"/>
  <c r="AD51" i="1"/>
  <c r="AD52" i="1"/>
  <c r="AD53" i="1"/>
  <c r="AD54" i="1"/>
  <c r="AD55" i="1"/>
  <c r="AD56" i="1"/>
  <c r="AD57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8" i="1"/>
  <c r="AD79" i="1"/>
  <c r="AD80" i="1"/>
  <c r="AD81" i="1"/>
  <c r="AD82" i="1"/>
  <c r="AD14" i="1"/>
  <c r="X76" i="3" l="1"/>
  <c r="Y76" i="3" s="1"/>
  <c r="X11" i="3"/>
  <c r="X12" i="3"/>
  <c r="X13" i="3"/>
  <c r="Y13" i="3" s="1"/>
  <c r="X14" i="3"/>
  <c r="Y14" i="3" s="1"/>
  <c r="X15" i="3"/>
  <c r="Y15" i="3" s="1"/>
  <c r="X16" i="3"/>
  <c r="Y16" i="3" s="1"/>
  <c r="X17" i="3"/>
  <c r="Y17" i="3" s="1"/>
  <c r="X18" i="3"/>
  <c r="X19" i="3"/>
  <c r="X20" i="3"/>
  <c r="Y20" i="3" s="1"/>
  <c r="X21" i="3"/>
  <c r="Y21" i="3" s="1"/>
  <c r="X22" i="3"/>
  <c r="Y22" i="3" s="1"/>
  <c r="X23" i="3"/>
  <c r="X24" i="3"/>
  <c r="Y24" i="3" s="1"/>
  <c r="X25" i="3"/>
  <c r="Y25" i="3" s="1"/>
  <c r="X26" i="3"/>
  <c r="X27" i="3"/>
  <c r="Y27" i="3" s="1"/>
  <c r="X28" i="3"/>
  <c r="Y28" i="3" s="1"/>
  <c r="X29" i="3"/>
  <c r="X30" i="3"/>
  <c r="Y30" i="3" s="1"/>
  <c r="X31" i="3"/>
  <c r="Y31" i="3" s="1"/>
  <c r="X33" i="3"/>
  <c r="X34" i="3"/>
  <c r="X40" i="3"/>
  <c r="Y40" i="3" s="1"/>
  <c r="X41" i="3"/>
  <c r="Y41" i="3" s="1"/>
  <c r="X42" i="3"/>
  <c r="X43" i="3"/>
  <c r="X44" i="3"/>
  <c r="X45" i="3"/>
  <c r="Y45" i="3" s="1"/>
  <c r="X46" i="3"/>
  <c r="X47" i="3"/>
  <c r="X48" i="3"/>
  <c r="X50" i="3"/>
  <c r="X51" i="3"/>
  <c r="X55" i="3"/>
  <c r="X57" i="3"/>
  <c r="Y57" i="3" s="1"/>
  <c r="X58" i="3"/>
  <c r="Y58" i="3" s="1"/>
  <c r="X59" i="3"/>
  <c r="Y59" i="3" s="1"/>
  <c r="X60" i="3"/>
  <c r="Y60" i="3" s="1"/>
  <c r="X61" i="3"/>
  <c r="Y61" i="3" s="1"/>
  <c r="X62" i="3"/>
  <c r="Y62" i="3" s="1"/>
  <c r="X63" i="3"/>
  <c r="Y63" i="3" s="1"/>
  <c r="X64" i="3"/>
  <c r="X65" i="3"/>
  <c r="Y65" i="3" s="1"/>
  <c r="X66" i="3"/>
  <c r="Y66" i="3" s="1"/>
  <c r="X67" i="3"/>
  <c r="Y67" i="3" s="1"/>
  <c r="X68" i="3"/>
  <c r="Y68" i="3" s="1"/>
  <c r="X69" i="3"/>
  <c r="X73" i="3"/>
  <c r="Y73" i="3" s="1"/>
  <c r="X74" i="3"/>
  <c r="Y74" i="3" s="1"/>
  <c r="X75" i="3"/>
  <c r="Y75" i="3" s="1"/>
  <c r="X77" i="3"/>
  <c r="Y77" i="3" s="1"/>
  <c r="X78" i="3"/>
  <c r="Y78" i="3" s="1"/>
  <c r="X79" i="3"/>
  <c r="Y79" i="3" s="1"/>
  <c r="X80" i="3"/>
  <c r="Y80" i="3" s="1"/>
  <c r="X81" i="3"/>
  <c r="Y81" i="3" s="1"/>
  <c r="X82" i="3"/>
  <c r="Y82" i="3" s="1"/>
  <c r="X83" i="3"/>
  <c r="Y83" i="3" s="1"/>
  <c r="X86" i="3"/>
  <c r="Y86" i="3" s="1"/>
  <c r="X87" i="3"/>
  <c r="Y87" i="3" s="1"/>
  <c r="X88" i="3"/>
  <c r="Y88" i="3" s="1"/>
  <c r="X89" i="3"/>
  <c r="Y89" i="3" s="1"/>
  <c r="X90" i="3"/>
  <c r="Y90" i="3" s="1"/>
  <c r="X91" i="3"/>
  <c r="Y91" i="3" s="1"/>
  <c r="X92" i="3"/>
  <c r="Y92" i="3" s="1"/>
  <c r="X93" i="3"/>
  <c r="Y93" i="3" s="1"/>
  <c r="X94" i="3"/>
  <c r="Y94" i="3" s="1"/>
  <c r="X95" i="3"/>
  <c r="Y95" i="3" s="1"/>
  <c r="X96" i="3"/>
  <c r="Y96" i="3" s="1"/>
  <c r="X97" i="3"/>
  <c r="Y97" i="3" s="1"/>
  <c r="X98" i="3"/>
  <c r="Y98" i="3" s="1"/>
  <c r="X99" i="3"/>
  <c r="Y99" i="3" s="1"/>
  <c r="X100" i="3"/>
  <c r="X103" i="3"/>
  <c r="Y103" i="3" s="1"/>
  <c r="X104" i="3"/>
  <c r="Y104" i="3" s="1"/>
  <c r="X106" i="3"/>
  <c r="X107" i="3"/>
  <c r="X109" i="3"/>
  <c r="X110" i="3"/>
  <c r="X112" i="3"/>
  <c r="X113" i="3"/>
  <c r="X115" i="3"/>
  <c r="X116" i="3"/>
  <c r="X117" i="3"/>
  <c r="Y117" i="3" s="1"/>
  <c r="X39" i="3"/>
  <c r="U39" i="3"/>
  <c r="T39" i="3"/>
  <c r="Y39" i="3" l="1"/>
  <c r="Y106" i="3" l="1"/>
  <c r="Y107" i="3"/>
  <c r="U81" i="3"/>
  <c r="U82" i="3"/>
  <c r="U83" i="3"/>
  <c r="U79" i="3"/>
  <c r="U80" i="3"/>
  <c r="U76" i="3"/>
  <c r="U77" i="3"/>
  <c r="U78" i="3"/>
  <c r="X101" i="3" l="1"/>
  <c r="R72" i="3" l="1"/>
  <c r="V108" i="3" l="1"/>
  <c r="X108" i="3" s="1"/>
  <c r="U63" i="3" l="1"/>
  <c r="U58" i="3"/>
  <c r="U41" i="3"/>
  <c r="Y113" i="3" l="1"/>
  <c r="Y112" i="3"/>
  <c r="V114" i="3"/>
  <c r="V111" i="3"/>
  <c r="V105" i="3"/>
  <c r="Y50" i="3"/>
  <c r="Y48" i="3"/>
  <c r="V56" i="3"/>
  <c r="V49" i="3"/>
  <c r="V32" i="3"/>
  <c r="Y47" i="3" l="1"/>
  <c r="Y12" i="3"/>
  <c r="Y26" i="3"/>
  <c r="Y42" i="3"/>
  <c r="Y18" i="3"/>
  <c r="Y23" i="3"/>
  <c r="Y29" i="3"/>
  <c r="Y34" i="3"/>
  <c r="Y43" i="3"/>
  <c r="Y46" i="3"/>
  <c r="Y64" i="3"/>
  <c r="Y109" i="3"/>
  <c r="Y115" i="3"/>
  <c r="Y19" i="3"/>
  <c r="Y33" i="3"/>
  <c r="Y44" i="3"/>
  <c r="Y55" i="3"/>
  <c r="Y69" i="3"/>
  <c r="Y110" i="3"/>
  <c r="Y116" i="3"/>
  <c r="X49" i="3"/>
  <c r="X32" i="3"/>
  <c r="X56" i="3"/>
  <c r="X105" i="3"/>
  <c r="X114" i="3"/>
  <c r="X111" i="3"/>
  <c r="Y101" i="3"/>
  <c r="Y100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40" i="3"/>
  <c r="U42" i="3"/>
  <c r="U43" i="3"/>
  <c r="U44" i="3"/>
  <c r="U45" i="3"/>
  <c r="U46" i="3"/>
  <c r="U47" i="3"/>
  <c r="U48" i="3"/>
  <c r="U49" i="3"/>
  <c r="U50" i="3"/>
  <c r="U51" i="3"/>
  <c r="U55" i="3"/>
  <c r="U56" i="3"/>
  <c r="U57" i="3"/>
  <c r="U59" i="3"/>
  <c r="U60" i="3"/>
  <c r="U61" i="3"/>
  <c r="U62" i="3"/>
  <c r="U64" i="3"/>
  <c r="U65" i="3"/>
  <c r="U66" i="3"/>
  <c r="U67" i="3"/>
  <c r="U68" i="3"/>
  <c r="U69" i="3"/>
  <c r="U73" i="3"/>
  <c r="U74" i="3"/>
  <c r="U7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2" i="3"/>
  <c r="T55" i="3"/>
  <c r="Y111" i="3" l="1"/>
  <c r="Y114" i="3"/>
  <c r="Y105" i="3"/>
  <c r="Y56" i="3"/>
  <c r="Y32" i="3"/>
  <c r="T44" i="3"/>
  <c r="T43" i="3"/>
  <c r="T42" i="3"/>
  <c r="Y108" i="3" l="1"/>
  <c r="T26" i="3"/>
  <c r="T23" i="3"/>
  <c r="T19" i="3"/>
  <c r="T18" i="3"/>
  <c r="T12" i="3"/>
  <c r="P12" i="1" l="1"/>
  <c r="K47" i="1"/>
  <c r="K12" i="1" s="1"/>
  <c r="E47" i="1"/>
  <c r="E12" i="1" s="1"/>
  <c r="AC13" i="1" s="1"/>
  <c r="AD47" i="1" l="1"/>
  <c r="T47" i="1"/>
  <c r="T12" i="1" s="1"/>
  <c r="X71" i="3" l="1"/>
  <c r="U71" i="3"/>
  <c r="X70" i="3" l="1"/>
  <c r="X72" i="3"/>
  <c r="Y71" i="3"/>
  <c r="U101" i="3"/>
  <c r="J102" i="3" l="1"/>
  <c r="K102" i="3"/>
  <c r="L102" i="3"/>
  <c r="M102" i="3"/>
  <c r="N102" i="3"/>
  <c r="O102" i="3"/>
  <c r="P102" i="3"/>
  <c r="X102" i="3" l="1"/>
  <c r="Y102" i="3" s="1"/>
  <c r="U102" i="3"/>
  <c r="P120" i="3"/>
  <c r="O120" i="3"/>
  <c r="O123" i="3" s="1"/>
  <c r="N120" i="3"/>
  <c r="M120" i="3"/>
  <c r="M123" i="3" s="1"/>
  <c r="L120" i="3"/>
  <c r="L123" i="3" s="1"/>
  <c r="K120" i="3"/>
  <c r="K123" i="3" s="1"/>
  <c r="J120" i="3"/>
  <c r="J123" i="3" s="1"/>
  <c r="I120" i="3"/>
  <c r="P119" i="3"/>
  <c r="P122" i="3" s="1"/>
  <c r="O119" i="3"/>
  <c r="O122" i="3" s="1"/>
  <c r="N119" i="3"/>
  <c r="N122" i="3" s="1"/>
  <c r="M119" i="3"/>
  <c r="L119" i="3"/>
  <c r="L122" i="3" s="1"/>
  <c r="K119" i="3"/>
  <c r="K122" i="3" s="1"/>
  <c r="J119" i="3"/>
  <c r="J122" i="3" s="1"/>
  <c r="I119" i="3"/>
  <c r="T111" i="3"/>
  <c r="T108" i="3"/>
  <c r="T105" i="3"/>
  <c r="T104" i="3"/>
  <c r="T73" i="3"/>
  <c r="W64" i="3"/>
  <c r="U11" i="3"/>
  <c r="T11" i="3"/>
  <c r="M122" i="3" l="1"/>
  <c r="M121" i="3" s="1"/>
  <c r="R119" i="3"/>
  <c r="I123" i="3"/>
  <c r="R123" i="3" s="1"/>
  <c r="R120" i="3"/>
  <c r="S122" i="3"/>
  <c r="J121" i="3"/>
  <c r="L121" i="3"/>
  <c r="O121" i="3"/>
  <c r="K121" i="3"/>
  <c r="X119" i="3"/>
  <c r="Y119" i="3" s="1"/>
  <c r="X120" i="3"/>
  <c r="Y120" i="3" s="1"/>
  <c r="U119" i="3"/>
  <c r="U120" i="3"/>
  <c r="J118" i="3"/>
  <c r="P118" i="3"/>
  <c r="M118" i="3"/>
  <c r="K118" i="3"/>
  <c r="I118" i="3"/>
  <c r="N118" i="3"/>
  <c r="O118" i="3"/>
  <c r="L118" i="3"/>
  <c r="R118" i="3" l="1"/>
  <c r="X122" i="3"/>
  <c r="Y122" i="3" s="1"/>
  <c r="X123" i="3"/>
  <c r="X118" i="3"/>
  <c r="Y118" i="3" s="1"/>
  <c r="U118" i="3"/>
  <c r="U123" i="3"/>
  <c r="T123" i="3"/>
  <c r="T122" i="3"/>
  <c r="U122" i="3"/>
  <c r="AC77" i="1" l="1"/>
  <c r="AD77" i="1"/>
  <c r="X121" i="3"/>
  <c r="U121" i="3"/>
  <c r="T121" i="3"/>
  <c r="D13" i="1" l="1"/>
  <c r="D77" i="1" l="1"/>
  <c r="D12" i="1" s="1"/>
  <c r="R101" i="3"/>
  <c r="I102" i="3"/>
  <c r="R102" i="3" l="1"/>
  <c r="I122" i="3"/>
  <c r="R122" i="3" s="1"/>
  <c r="I121" i="3" l="1"/>
  <c r="R121" i="3" s="1"/>
  <c r="Y49" i="3"/>
  <c r="N51" i="3"/>
  <c r="N72" i="3" l="1"/>
  <c r="P51" i="3"/>
  <c r="U72" i="3"/>
  <c r="Y72" i="3"/>
  <c r="N70" i="3"/>
  <c r="N123" i="3"/>
  <c r="Y51" i="3"/>
  <c r="P49" i="3" l="1"/>
  <c r="P72" i="3"/>
  <c r="N121" i="3"/>
  <c r="Y123" i="3"/>
  <c r="U70" i="3"/>
  <c r="Y70" i="3"/>
  <c r="P70" i="3" l="1"/>
  <c r="P123" i="3"/>
  <c r="Y121" i="3"/>
  <c r="P121" i="3" l="1"/>
  <c r="S121" i="3" s="1"/>
  <c r="S123" i="3"/>
</calcChain>
</file>

<file path=xl/sharedStrings.xml><?xml version="1.0" encoding="utf-8"?>
<sst xmlns="http://schemas.openxmlformats.org/spreadsheetml/2006/main" count="1622" uniqueCount="579">
  <si>
    <t>краевой бюджет</t>
  </si>
  <si>
    <t>местный бюджет</t>
  </si>
  <si>
    <t xml:space="preserve">ОТЧЕТ 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</si>
  <si>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</si>
  <si>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</si>
  <si>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>Единица измерения</t>
  </si>
  <si>
    <t>ОТЧЕТ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</si>
  <si>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</si>
  <si>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</si>
  <si>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</si>
  <si>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>Х</t>
  </si>
  <si>
    <t>Непосредственный результат реализации мероприятия</t>
  </si>
  <si>
    <t>план</t>
  </si>
  <si>
    <t>факт</t>
  </si>
  <si>
    <t>наименование</t>
  </si>
  <si>
    <t>единица измерения</t>
  </si>
  <si>
    <t>плановое значение</t>
  </si>
  <si>
    <t>фактическое значение</t>
  </si>
  <si>
    <t>Профинансировано (кассовое исполнение) в отчетном периоде, тыс. рублей</t>
  </si>
  <si>
    <t>Объем финансирования, предусмотренный государственной программой на текущий год, тыс. рублей</t>
  </si>
  <si>
    <t>соглашениями с муниципальными образованиями</t>
  </si>
  <si>
    <t>федеральный бюджет</t>
  </si>
  <si>
    <t>внебюджетные  источники</t>
  </si>
  <si>
    <t>Наименование основного мероприятия, подпрограммы, мероприятия подпрограммы, ведомственной целевой программы</t>
  </si>
  <si>
    <t>Объем финансирования в тыс. рублей, предусмотренный на отчетную дату:</t>
  </si>
  <si>
    <t>Значения целевого показателя за:</t>
  </si>
  <si>
    <t>текущий отчетный период</t>
  </si>
  <si>
    <t>уточненной сводной бюджетной росписью</t>
  </si>
  <si>
    <t>ВСЕГО, по государственной программе, в том числе:</t>
  </si>
  <si>
    <t>Подпрограмма "Оказание содействия добровольному переселению в Краснодарский край соотечественников, проживающих за рубежом"</t>
  </si>
  <si>
    <t>1.1.1</t>
  </si>
  <si>
    <t>1.1.2</t>
  </si>
  <si>
    <t>1.1.3</t>
  </si>
  <si>
    <t>1.1.4</t>
  </si>
  <si>
    <t>Подпрограмма "Реализация политики содействия занятости населения"</t>
  </si>
  <si>
    <t xml:space="preserve">Информирование о положении на рынке труда в Краснодарском крае </t>
  </si>
  <si>
    <t>1.1.5</t>
  </si>
  <si>
    <t xml:space="preserve"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</t>
  </si>
  <si>
    <t>1.1.6</t>
  </si>
  <si>
    <t>Организация ярмарок вакансий и учебных рабочих мест</t>
  </si>
  <si>
    <t>1.1.7</t>
  </si>
  <si>
    <t>Организация проведения оплачиваемых общественных работ</t>
  </si>
  <si>
    <t>1.1.8</t>
  </si>
  <si>
    <t>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</t>
  </si>
  <si>
    <t>1.2.1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</si>
  <si>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</si>
  <si>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1.2.2</t>
  </si>
  <si>
    <t>Психологическая поддержка безработных граждан</t>
  </si>
  <si>
    <t>1.2.3</t>
  </si>
  <si>
    <t>Социальная адаптация безработных граждан на рынке труда</t>
  </si>
  <si>
    <t>1.2.4</t>
  </si>
  <si>
    <t>Профессиональное обучение и дополнительное профессиональное образование безработных граждан, включая обучение в другой местности</t>
  </si>
  <si>
    <t>1.2.5</t>
  </si>
  <si>
    <t>1.2.6</t>
  </si>
  <si>
    <t>1.3.1.1</t>
  </si>
  <si>
    <t>Осуществление выплаты пособия по безработице, в том числе оплата за услуги по доставке и перечислению</t>
  </si>
  <si>
    <t>1.3.1.3</t>
  </si>
  <si>
    <t>Осуществление выплаты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занятости, в том числе оплата за услуги по доставке и перечислению</t>
  </si>
  <si>
    <t>1.3.1.4</t>
  </si>
  <si>
    <t>1.3.1.5</t>
  </si>
  <si>
    <t>1.3.1.6</t>
  </si>
  <si>
    <t>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</si>
  <si>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Всего по подпрограмме "Улучшение условий и охраны труда", в том числе:</t>
  </si>
  <si>
    <t>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</si>
  <si>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 на работах с вредными и (или) опасными условиями труда; фактических условий труда работников</t>
  </si>
  <si>
    <t>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</si>
  <si>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 (далее - ФСС РФ)</t>
  </si>
  <si>
    <t>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</t>
  </si>
  <si>
    <t>Организационно-техническое обеспечение работы краевой межведомственной комиссии по охране труда (далее - МВК)</t>
  </si>
  <si>
    <t>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</t>
  </si>
  <si>
    <t>1.3.1.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</si>
  <si>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-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</si>
  <si>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1.3.2</t>
  </si>
  <si>
    <t>Развитие системы отраслевых учебно-методических центров охраны труда в Краснодарском крае</t>
  </si>
  <si>
    <t>1.4.1.</t>
  </si>
  <si>
    <t>Актуализация нормативной правовой базы по обеспечению охраны труда в организациях Краснодарского края</t>
  </si>
  <si>
    <t>1.5.1.</t>
  </si>
  <si>
    <t>Подготовка и издание информационно-аналитического бюллетеня "Охрана труда в Краснодарском крае"</t>
  </si>
  <si>
    <t>1.5.2</t>
  </si>
  <si>
    <t>Организация и проведение конференций, семинаров, совещаний по вопросам улучшения условий и охраны труда</t>
  </si>
  <si>
    <t>1.5.3</t>
  </si>
  <si>
    <t>Формирование краевого банка вакансий</t>
  </si>
  <si>
    <t>Содействие гражданам в поиске подходящей работы, а работодателям - в подборе необходимых работников</t>
  </si>
  <si>
    <t>Организация выездов мобильных центров занятости населения в городские и сельские поселения для приема граждан и работодателей</t>
  </si>
  <si>
    <t>1.1.11</t>
  </si>
  <si>
    <t>1.4.1</t>
  </si>
  <si>
    <t>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</t>
  </si>
  <si>
    <t>1.4.2</t>
  </si>
  <si>
    <t>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</t>
  </si>
  <si>
    <t>1.4.3</t>
  </si>
  <si>
    <t>Разработка прогноза баланса трудовых ресурсов Краснодарского края на среднесрочный период</t>
  </si>
  <si>
    <t>Содействие трудоустройству участников Государственной программы и членам их семей на вакантные рабочие места</t>
  </si>
  <si>
    <t>Государственная программа Краснодарского края "Содействие занятости населения"</t>
  </si>
  <si>
    <t>1.1</t>
  </si>
  <si>
    <t>Уровень безработицы по методологии Международной организации труда (в среднегодовом исчислении)</t>
  </si>
  <si>
    <t>%</t>
  </si>
  <si>
    <t>1.2</t>
  </si>
  <si>
    <t>Уровень регистрируемой безработицы (в среднегодовом исчислении)</t>
  </si>
  <si>
    <t>1.3</t>
  </si>
  <si>
    <t>Коэффициент напряженности на рынке труда (в среднегодовом исчислении)</t>
  </si>
  <si>
    <t>единиц</t>
  </si>
  <si>
    <t>1.4</t>
  </si>
  <si>
    <t>1.5</t>
  </si>
  <si>
    <t>Численность пострадавших в результате несчастных случаев на производстве со смертельным исходом</t>
  </si>
  <si>
    <t>человек</t>
  </si>
  <si>
    <t>1.6</t>
  </si>
  <si>
    <t>Удельный вес рабочих мест, на которых проведена специальная оценка условий труда, в общем количестве рабочих мест</t>
  </si>
  <si>
    <t>2.1</t>
  </si>
  <si>
    <t>Доля граждан, получивших государственную услугу по профессиональной ориентации, от численности граждан, обратившихся в органы службы занятости за содействием в поиске подходящей работы</t>
  </si>
  <si>
    <t>Подпрограмма "Улучшение условий и охраны труда"</t>
  </si>
  <si>
    <t>3.1</t>
  </si>
  <si>
    <t>Численность пострадавших в результате несчастных случаев на производстве с утратой трудоспособности на 1 рабочий день и более</t>
  </si>
  <si>
    <t>3.2</t>
  </si>
  <si>
    <t>Количество дней временной нетрудоспособности в связи с несчастным случаем на производстве в расчете на 1 пострадавшего</t>
  </si>
  <si>
    <t>дни</t>
  </si>
  <si>
    <t>3.3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</si>
  <si>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</t>
  </si>
  <si>
    <t>3.4</t>
  </si>
  <si>
    <t>Количество рабочих мест, на которых проведена специальная оценка условий труда</t>
  </si>
  <si>
    <t>тыс. единиц</t>
  </si>
  <si>
    <t>3.5</t>
  </si>
  <si>
    <t>Количество рабочих мест, на которых улучшены условия труда по результатам специальной оценки условий труда</t>
  </si>
  <si>
    <t>3.6</t>
  </si>
  <si>
    <t>Численность работников, занятых на работах с вредными и (или) опасными условиями труда</t>
  </si>
  <si>
    <t>3.7</t>
  </si>
  <si>
    <t>Удельный вес работников, занятых на работах с вредными и (или) опасными условиями труда, от общей численности работников</t>
  </si>
  <si>
    <t>Число участников государственной программы по оказанию содействия добровольному переселению в Российскую Федерацию соотечественников, проживающих за рубежом, утвержденной Указом Президента Российской Федерации от 22 июня 2006 года № 637 (далее - Государственная программа), переселившихся в Краснодарский край (далее - участники Государственной программы), и членов их семей</t>
  </si>
  <si>
    <t>Доля рассмотренных, уполномоченным органом исполнительной власти Краснодарского края заявлений соотечественников - потенциальных участников Государственной программы, от общего количества поступивших заявлений</t>
  </si>
  <si>
    <t>Доля участников Государственной программы, которым выделены жилые помещения для временного размещения на срок не менее 6 месяцев либо которым компенсирован наем жилого помещения на указанный срок</t>
  </si>
  <si>
    <t>Доля участников Государственной программы, постоянно жилищно обустроенных в Краснодарском крае</t>
  </si>
  <si>
    <t>Доля занятых участников Государственной программы и членов их семей - всего, в том числе:</t>
  </si>
  <si>
    <t>работающих по найму</t>
  </si>
  <si>
    <t>осуществляющих предпринимательскую деятельность</t>
  </si>
  <si>
    <t>Доля участников Государственной программы и членов их семей, получивших гарантированное медицинское обслуживание в Краснодарском крае в период адаптации, от общего числа участников Государственной программы и членов их семей</t>
  </si>
  <si>
    <t>Доля участников Государственной программы и членов их семей, получающих среднее профессиональное, высшее образование, дополнительное профессиональное образование в образовательных организациях на территории Краснодарского края, от числа участников Государственной программы и членов их семей, в возрасте до 25 лет</t>
  </si>
  <si>
    <t>Доля расходов краевого бюджета на реализацию предусмотренных подпрограммой "Оказание содействия добровольному переселению в Краснодарский край соотечественников, проживающих за рубежом" мероприятий, связанных с предоставлением дополнительных гарантий и мер социальной поддержки участникам Государственной программы и членам их семей, в том числе оказанием помощи в жилищном обустройстве, в общем размере расходов краевого бюджета на реализацию предусмотренных мероприятий подпрограммы</t>
  </si>
  <si>
    <t>Содействие занятости населения</t>
  </si>
  <si>
    <t>х</t>
  </si>
  <si>
    <t>1.5.1</t>
  </si>
  <si>
    <t>министерство труда и социального развития Краснодарского края</t>
  </si>
  <si>
    <t>министерство здравоохранения Краснодарского края</t>
  </si>
  <si>
    <t>численность граждан, получивших государственную услугу</t>
  </si>
  <si>
    <t>тыс. человек</t>
  </si>
  <si>
    <t xml:space="preserve">тыс. единиц </t>
  </si>
  <si>
    <t>количество вакансий, заявленных работодателями в отчетном периоде</t>
  </si>
  <si>
    <t>численность трудоустроенных граждан</t>
  </si>
  <si>
    <t>количество выездов/число получателей услуг</t>
  </si>
  <si>
    <t>тыс. выездов/тыс. человек</t>
  </si>
  <si>
    <t>1,5/50</t>
  </si>
  <si>
    <t>численность участников ярмарок вакансий</t>
  </si>
  <si>
    <t>количество заключенных коллективных договоров</t>
  </si>
  <si>
    <t>численность участников мероприятий по профессиональной ориентации</t>
  </si>
  <si>
    <t>численность граждан, направленных на профобучение</t>
  </si>
  <si>
    <t>обеспечение финансирования социальных выплат безработным гражданам</t>
  </si>
  <si>
    <t xml:space="preserve">обеспечение выплаты стипендии в период профессионального обучения </t>
  </si>
  <si>
    <t>обеспечение возмещения Пенсионному фонду Российской Федерации расходов, связанных с выплатой пенсий, оформленных безработным гражданам досрочно</t>
  </si>
  <si>
    <t>обеспечение выплаты материальной помощи в связи с истечением установленного периода выплаты пособия по безработице</t>
  </si>
  <si>
    <t>обеспечение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</si>
  <si>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выдача заключений о привлечении и об использовании иностранных работников на основании запроса Федеральной миграционной службы или ее территориального органа</t>
  </si>
  <si>
    <t>ежегодное формирование прогноза дополнительной потребности организаций в квалифицированных кадрах на среднесрочный период</t>
  </si>
  <si>
    <t>ежегодная разработка прогноза баланса трудовых ресурсов Краснодарского края на очередной год и плановый период</t>
  </si>
  <si>
    <t xml:space="preserve">обеспечение деятельности государственных казенных учреждений Краснодарского края центров занятости населения </t>
  </si>
  <si>
    <t>проведение  государственной экспертизы условий труда</t>
  </si>
  <si>
    <t>шт</t>
  </si>
  <si>
    <t>подготовка решений и мер, направленных на снижение производственного травматизма и профессиональной заболеваемости</t>
  </si>
  <si>
    <t>тыс. руб.</t>
  </si>
  <si>
    <t xml:space="preserve">снижение численности пострадавших в результате несчастных случаев на производстве с утратой трудоспособности на 1 рабочий день и более </t>
  </si>
  <si>
    <t>проведение заседаний МВК</t>
  </si>
  <si>
    <t>повышение степени защиты работников от производственного травматизма и профессиональных заболеваний</t>
  </si>
  <si>
    <t>увеличение численности работников организаций, прошедших обучение по охране труда в установленном порядке</t>
  </si>
  <si>
    <t>работников</t>
  </si>
  <si>
    <t>совершенствование региональной нормативной правовой базы в области охраны труда</t>
  </si>
  <si>
    <t xml:space="preserve">подготовка и издание бюллетеней </t>
  </si>
  <si>
    <t xml:space="preserve">проведение  мероприятий </t>
  </si>
  <si>
    <t>численность участников Государственной программы и членов их семей, которым компенсированы затраты по признанию образования и (или) квалификации, полученных в иностранном государстве</t>
  </si>
  <si>
    <t xml:space="preserve">Проведение опроса (анкетирования) инвалидов для определения потребности в трудоустройстве, профессиональном обучении и открытии собственного дела </t>
  </si>
  <si>
    <t xml:space="preserve">Формирование краевого банка вакансий для инвалидов, в том числе на квотируемые рабочие места </t>
  </si>
  <si>
    <t xml:space="preserve">формирование итогов опроса (анкетирования) и ежегодная актуализация данных </t>
  </si>
  <si>
    <t>количество вакансий для инвалидов, в том числе на квотируемые рабочие места</t>
  </si>
  <si>
    <t xml:space="preserve"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</si>
  <si>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оказание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</si>
  <si>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Информирование потенциальных участников Государственной программы и членов их семей </t>
  </si>
  <si>
    <t>1.1.3.1</t>
  </si>
  <si>
    <t>Компенсация расходов участников Государственной программы и членов их семей, на первичное медицинское обследование</t>
  </si>
  <si>
    <t xml:space="preserve"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 </t>
  </si>
  <si>
    <t>1.1.3.2</t>
  </si>
  <si>
    <t xml:space="preserve">организация предоставления дополнительного профессионального образования участникам Государственной программы и членам их семей </t>
  </si>
  <si>
    <t>1.1.4.1</t>
  </si>
  <si>
    <t>Осуществление выплаты материальной помощи в связи с истечением установленного периода выплаты пособия по безработице</t>
  </si>
  <si>
    <t>2.11</t>
  </si>
  <si>
    <t>2.12</t>
  </si>
  <si>
    <t>2.13</t>
  </si>
  <si>
    <t>2.14</t>
  </si>
  <si>
    <t>2.15</t>
  </si>
  <si>
    <t>2.16</t>
  </si>
  <si>
    <t>2.17</t>
  </si>
  <si>
    <t>2.18</t>
  </si>
  <si>
    <t>Доля граждан, трудоустроенных на общественные работы, от численности граждан, обратившихся в органы службы занятости в целях поиска подходящей работы в отчетном периоде</t>
  </si>
  <si>
    <t>Доля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впервые, трудоустроенных на временные работы, от численности зарегистрированных в отчетном периоде безработных граждан</t>
  </si>
  <si>
    <t>Доля безработных граждан, получивших государственную услугу по психологической поддержке, от численности зарегистрированных в отчетном периоде безработных граждан</t>
  </si>
  <si>
    <t>Доля граждан, получивших государственную услугу по содействию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занятости, от численности зарегистрированных в отчетном периоде безработных граждан</t>
  </si>
  <si>
    <t>Доля трудоустроенных инвалидов от численности инвалидов, обратившихся за содействием в поиске подходящей работы</t>
  </si>
  <si>
    <t>Доля безработных граждан, получивших государственную услугу по социальной адаптации, от численности зарегистрированных в отчетном периоде безработных граждан</t>
  </si>
  <si>
    <t>1.1.4.2</t>
  </si>
  <si>
    <t>не выполнено</t>
  </si>
  <si>
    <t>Доля безработных граждан, приступивших к профессиональному обучению и дополнительному профессиональному образованию, от численности зарегистрированных в отчетном периоде безработных граждан</t>
  </si>
  <si>
    <t xml:space="preserve">численность трудоустроенных участников Государственной программы и членов их семей </t>
  </si>
  <si>
    <t>Доля безработных граждан, получивших государственную услугу по содействию самозанятости безработных граждан, от численности зарегистрированных в отчетном периоде безработных граждан</t>
  </si>
  <si>
    <t>Осуществление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</si>
  <si>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использование работодателями части страховых взносов в ФСС РФ  на предупредительные меры по охране труда</t>
  </si>
  <si>
    <r>
      <t>Номер целевого показателя</t>
    </r>
    <r>
      <rPr>
        <vertAlign val="superscript"/>
        <sz val="10"/>
        <color rgb="FF000000"/>
        <rFont val="Times New Roman"/>
        <family val="1"/>
        <charset val="204"/>
      </rPr>
      <t>1)</t>
    </r>
  </si>
  <si>
    <t>о выполнении плана реализации государственной программы Краснодарского края</t>
  </si>
  <si>
    <t>Статус</t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</si>
  <si>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</si>
  <si>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</si>
  <si>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</si>
  <si>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</si>
  <si>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t>Поквартальное распределение прогноза кассовых выплат из краевого бюджета, тыс. рублей</t>
  </si>
  <si>
    <t>I</t>
  </si>
  <si>
    <t>II</t>
  </si>
  <si>
    <t>III</t>
  </si>
  <si>
    <t>IV</t>
  </si>
  <si>
    <t>-</t>
  </si>
  <si>
    <t>1.1.9</t>
  </si>
  <si>
    <t>1.3.1</t>
  </si>
  <si>
    <t>из федерального бюджета</t>
  </si>
  <si>
    <t>Итого по подпрограмме "Реализация политики содействия занятости населения"</t>
  </si>
  <si>
    <t>из краевого бюджета</t>
  </si>
  <si>
    <t>Итого по подпрограмме "Улучшение условий и охрана труда"</t>
  </si>
  <si>
    <t>Министерство  здравоохранения Краснодарского края</t>
  </si>
  <si>
    <t>Итого по подпрограмме "Оказание содействия добровольному переселению в Краснодарский край соотечественников, проживающих за рубежом"</t>
  </si>
  <si>
    <t>Итого по государственной программе</t>
  </si>
  <si>
    <t>..</t>
  </si>
  <si>
    <t>1.5.5</t>
  </si>
  <si>
    <t xml:space="preserve">Предоставление субсидий работодателям (юридическим лицам, за исключением государственных (муниципальных)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 </t>
  </si>
  <si>
    <t>трудоустройство инвалидов</t>
  </si>
  <si>
    <t>увеличение количества рабочих мест в организациях края, на которых проведена специальная оценка условий труда</t>
  </si>
  <si>
    <t>Финансовое обеспечение подведомственных министерству труда и социального развития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</si>
  <si>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проведение специальной оценки условий труда </t>
  </si>
  <si>
    <t>рабочих мест</t>
  </si>
  <si>
    <t>2.19</t>
  </si>
  <si>
    <t xml:space="preserve">факт </t>
  </si>
  <si>
    <t xml:space="preserve">Численность трудоустроенных инвалидов, в том числе молодого возраста (от 18 до 44 лет) из числа выпускников высшего и среднего профессионального образования, с возмещением затрат работодателям (юридическим лицам, за исключением государственных (муниципальных) учреждений, и индивидуальным предпринимателям) на заработную плату в виде субсидий </t>
  </si>
  <si>
    <t>1.1.13</t>
  </si>
  <si>
    <t>1.2.7</t>
  </si>
  <si>
    <t>1.3.3</t>
  </si>
  <si>
    <t>2.21</t>
  </si>
  <si>
    <t>Переобучение, повышение квалификации работников предприятий в целях поддержки занятости и повышения эффективности рынка труда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</si>
  <si>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Повышение эффективности службы занятости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</si>
  <si>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согласование не менее 5 учебных программ</t>
  </si>
  <si>
    <t>организация не менее 2 краевых конкурсов по охране труда</t>
  </si>
  <si>
    <t>выполнено</t>
  </si>
  <si>
    <t>не  выполнено</t>
  </si>
  <si>
    <t>Разработка программы "нулевого травматизма", рекомендуемой для внедрения в организациях Краснодарского края</t>
  </si>
  <si>
    <t>Согласование учебных программ по охране труда,
используемых аккредитованными обучающими организациями, с целью обеспечения их соответствия изменениям в трудовом законодательстве</t>
  </si>
  <si>
    <t>1.5.4.</t>
  </si>
  <si>
    <t>Организация и проведение краевых конкурсов по охране труда, направленных на профилактику несчастных случаев и повреждения здоровья работников: "Лучший специалист по охране труда Краснодарского края" и детских рисунков "Я выбираю безопасный труд", за исключением мероприятий, предусмотренных пунктом 1.5.3 раздела 2 подпрограммы "Улучшение условий и охраны труда"</t>
  </si>
  <si>
    <t>численность участников Государственной программы и членов их семей, которым компенсированы расходы на первичное медицинское обследование</t>
  </si>
  <si>
    <t>2.27</t>
  </si>
  <si>
    <t>2.28</t>
  </si>
  <si>
    <t>Уровень занятости женщин, имеющих детей дошкольного возраста</t>
  </si>
  <si>
    <t xml:space="preserve">                                                                                                                                                                                          </t>
  </si>
  <si>
    <t>финансовое обеспечение подведомственных министерству образования, науки и молодежной политики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</si>
  <si>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ветеринарии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</si>
  <si>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гражданской обороны  и чрезвычайных ситуаций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</si>
  <si>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1.1.3.6</t>
  </si>
  <si>
    <t>1.1.3.5</t>
  </si>
  <si>
    <t>1.1.3.7</t>
  </si>
  <si>
    <t>финансовое обеспечение подведомственных министерству здравоохранения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</si>
  <si>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1.1.3.8</t>
  </si>
  <si>
    <t>финансовое обеспечение подведомственных министерству физической культуры и спорта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</si>
  <si>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1.1.3.9</t>
  </si>
  <si>
    <t>финансовое обеспечение подведомственных департаменту по архитектуре и градостроительству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</si>
  <si>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1.1.3.10</t>
  </si>
  <si>
    <t>финансовое обеспечение подведомственных департаменту по делам казачества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</si>
  <si>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министерство образования, науки и молодежной политики Краснодарского края</t>
  </si>
  <si>
    <t>департамент ветеринарии Краснодарского края</t>
  </si>
  <si>
    <t>министерство гражданской обороны  и чрезвычайных ситуаций Краснодарского края</t>
  </si>
  <si>
    <t>министерство физической культуры и спорта Краснодарского края</t>
  </si>
  <si>
    <t xml:space="preserve">департамент по архитектуре и градостроительству Краснодарского края </t>
  </si>
  <si>
    <t>Удельный вес безработных граждан в возрасте 16 - 29 лет, ищущих работу 12 и более месяцев, в общей численности безработных граж-дан в возрасте 16 - 29 лет, зарегистрированных в органах службы занятости</t>
  </si>
  <si>
    <t>1.5.4</t>
  </si>
  <si>
    <t>начальник отдела трудоустройства и организации профессионального обучения в управлении занятости населения 
Слепченко М.В.</t>
  </si>
  <si>
    <t xml:space="preserve">начальник отдела специальных про-грамм и сопровож-дения занятости инвалидов в управлении заня-тости населения 
Михайловская Л.Д.
</t>
  </si>
  <si>
    <t xml:space="preserve">начальник отдела управления охраны труда и социальных гарантий в управлении труда 
Мацокин А.М.
</t>
  </si>
  <si>
    <t xml:space="preserve">начальник отдела специальных программ и сопровождения занятости инвалидов в управлении занятости населения 
Михайловская Л.Д.
</t>
  </si>
  <si>
    <t xml:space="preserve">начальник отдела управления охраны труда и социальных гарантий в управлении труда 
Мацокин А.М.; начальник отдела государственной экспертизы условий труда в управлении труда Сынкова Е.В.
</t>
  </si>
  <si>
    <t>начальник отдела государственной экспертизы условий труда в управлении труда Сынкова Е.В.</t>
  </si>
  <si>
    <t>начальник отдела управления охраны труда и социальных гарантий в управлении труда 
Мацокин А.М.</t>
  </si>
  <si>
    <t xml:space="preserve">начальник отдела трудоустройства и организации профессионального обучения в управлении занятости населения 
Слепченко М.В.
</t>
  </si>
  <si>
    <t>1.3.1.7</t>
  </si>
  <si>
    <t>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</si>
  <si>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4.1</t>
  </si>
  <si>
    <t>4.2</t>
  </si>
  <si>
    <t>4.3</t>
  </si>
  <si>
    <t>4.4</t>
  </si>
  <si>
    <t>4.5</t>
  </si>
  <si>
    <t>4.5.1</t>
  </si>
  <si>
    <t>4.5.2</t>
  </si>
  <si>
    <t>4.6</t>
  </si>
  <si>
    <t>4.7</t>
  </si>
  <si>
    <t>4.8</t>
  </si>
  <si>
    <t xml:space="preserve"> </t>
  </si>
  <si>
    <t>2.4</t>
  </si>
  <si>
    <t>Доля несовершеннолетних граждан в возрасте от 14 до 18 лет, принявших участие во временных работах в свободное от учебы время, от численности несовершеннолетних граждан в возрасте от 14 до 18 лет, проживающих на территории Краснодарского края</t>
  </si>
  <si>
    <t>Финансовое обеспечение подведомственных министерству образования, науки и молодежной политики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</si>
  <si>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здравоохранения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</si>
  <si>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Информирование о положении на рынке труда в Краснодарском крае</t>
  </si>
  <si>
    <t>Содействие гражданам в поиске подходящей работы, а работодателям – в подборе необходимых работников</t>
  </si>
  <si>
    <t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</t>
  </si>
  <si>
    <t>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</t>
  </si>
  <si>
    <t>Осуществление социальных выплат гражданам, признанным в установленном порядке безработными</t>
  </si>
  <si>
    <t>Проведение опроса (анкетирования) инвалидов для определения потребности в трудоустройстве, профессиональном обучении и открытии собственного дела</t>
  </si>
  <si>
    <t>Формирование краевого банка вакансий для инвалидов, в том числе на квотируемые рабочие места</t>
  </si>
  <si>
    <t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</t>
  </si>
  <si>
    <t>Предоставление субсидий работодателям (юридическим лицам, за исключением государственных (муници-пальных)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</si>
  <si>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труда на работах с вредными и (или) опасными условиями труда; фактических условий труда работников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</si>
  <si>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</t>
  </si>
  <si>
    <t>Организационно-техническое обеспечение работы краевой межведомственной комиссии по охране труда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</si>
  <si>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–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</si>
  <si>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Согласование  учебных программ по охране труда, используемых аккредитованными обучающими организациями, с целью обеспечения их соответствия изменениям в трудовом законодательстве</t>
  </si>
  <si>
    <t>Контрольное событие 1.1.1  Направление в центры занятости населения информации о положении на рынке труда в Краснодарском крае</t>
  </si>
  <si>
    <t>Контрольное событие 1.1.4 Формирование графика выезда Мобильных центров занятости в муниципальных образованиях для оказания государственных услуг в сфере содействия занятости населения</t>
  </si>
  <si>
    <t>Контрольное событие 1.1.6 Формирование ежеквартального графика проведения ярмарок вакансий в муниципальных образованиях и размещение его на интерактивном портале органов труда и занятости населения Краснодарского края</t>
  </si>
  <si>
    <t>Контрольное событие 1.1.6 Организация и проведение ярмарок вакансий на территории 44 муниципальных образований для граждан, уволенных с военной службы, и членов их семей в рамках краевой акции «Служба занятости – защитникам Отечества»</t>
  </si>
  <si>
    <t>Контрольное событие 1.1.6 Организация и проведение ярмарок вакансий на территории 44 муниципальных образований, приуроченных к празднованию 8 марта (Международного женского дня) в рамках краевой акции «Профессиональный мир женщины»</t>
  </si>
  <si>
    <t>Контрольное событие 1.1.7 Организация проведения оплачиваемых общественных работ по благоустройству воинских захоронений, мемориалов, памятников, обелисков воинской славы и прилегающей территории в канун празднования Дня Победы – 9 мая</t>
  </si>
  <si>
    <t>Контрольное событие 1.1.7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организации общественных работ</t>
  </si>
  <si>
    <t>Контрольное событие 1.1.8 Организация временного трудоустройства несовершеннолетних граждан по благоустройству воинских захоронений, мемориалов, памятников, обелисков воинской славы и прилегающей территории в канун празднования Дня Победы – 9 мая</t>
  </si>
  <si>
    <t>Контрольное событие 1.1.9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государственной услуги по содействию самозанятости безработных граждан</t>
  </si>
  <si>
    <t>Контрольное событие 1.2.1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профориентации</t>
  </si>
  <si>
    <t>Контрольное событие 1.2.1  Профориентационная акция "Выбери будущее сегодня" для подростков, состоящих на профилактическом учете в комиссиях по делам несовершеннолетних и защите их прав</t>
  </si>
  <si>
    <t>Контрольное событие 1.4.1 Проведение семинаров со специалистами центров занятости населения по вопросам соблюдения законодательства по профессиональному обучению и дополнительному профессиональному образованию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</t>
  </si>
  <si>
    <t>Контрольное событие 1.4.2 Проведение мониторинга дополнительной потребности организаций в квалифицированных кадрах</t>
  </si>
  <si>
    <t>Контрольное событие1.4.2 Проведение обучающего семинара со специалистами центров занятости населения в режиме аудиоконференции по теме: "Мониторинг дополнительной потребности организаций в квалифицированных кадрах"</t>
  </si>
  <si>
    <t>Контрольное событие № 1.4.3 Проведение обучающего семинара со специалистами центров занятости населения в режиме аудиоконференции по теме: "Разработка прогнозного баланса трудовых ресурсов муниципального образования на период до 2022 года"</t>
  </si>
  <si>
    <t>Контрольное событие 1.5.3 Проведение семинаров со специалистами центров занятости населения по оказанию содействия в трудоустройстве инвалидов, в соответствии с методическими рекомендациями по содействию занятости инвалидов</t>
  </si>
  <si>
    <t>Контрольное событие 1.2.4 Проведение заседания краевой межведомственной комиссии по охране труда</t>
  </si>
  <si>
    <t>Контрольное событие 1.5.1 Издание информационно-аналитического бюллетеня "Охрана труда в Краснодарском крае"</t>
  </si>
  <si>
    <t>на 0,5 %</t>
  </si>
  <si>
    <t>снижение уровня смертельного травматизма на 0,5 %</t>
  </si>
  <si>
    <t>Осуществление уведомительной регистрации коллективных договоров, региональных, территориальных и иных соглашений в сфере социального партнерства</t>
  </si>
  <si>
    <t>Контрольное событие 1.1.8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временному трудоустройству несовершеннолетних граждан в возрасте от 14 до 18 лет</t>
  </si>
  <si>
    <t>1.4.4</t>
  </si>
  <si>
    <t>Финансовое обеспечение органов исполнительной власти и поведомственных им государственных учреждений на организацию осуществления переданного полномочия Российской Федерации по осуществлению социальных выплат, признанным в установленном порядке безработным гражданам</t>
  </si>
  <si>
    <t>на 0,1%</t>
  </si>
  <si>
    <t xml:space="preserve">1.3.3 </t>
  </si>
  <si>
    <t xml:space="preserve">1.2.6 </t>
  </si>
  <si>
    <t xml:space="preserve">Осуществление уведомительной регистрации коллективных договоров, региональных, территориальных и иных соглашений в сфере социального партнерства
</t>
  </si>
  <si>
    <t xml:space="preserve">Возмещение Пенсионному фонду Российской Федерации расходов, связанных с выплатой пенсии, назначенной по предложению органов службы занятости на период до наступления возраста, дающего право на страховую пенсию по старости, в том числе назначаемую досрочно, социальных пособий на погребение и оплатой стоимости услуг по погребению умерших неработавших пенсионеров, досрочно оформивших пенсию по предложению органов службы занятости, включая расходы на доставку
</t>
  </si>
  <si>
    <t>присвоение статуса отраслевого центра одной аккредитованной обучающей организации</t>
  </si>
  <si>
    <t>ед.</t>
  </si>
  <si>
    <t>численность участников Государственной программы и членов их семей, направленных на получение дополнитель-       ного профессиональ-      ного образования</t>
  </si>
  <si>
    <t>Начальник отдела реализации 
национальных проектов и государственных программ</t>
  </si>
  <si>
    <t>О.Г. Лычагина</t>
  </si>
  <si>
    <t>09.01.20210</t>
  </si>
  <si>
    <t xml:space="preserve">31.03.2020,
30.06.2020,
30.09.2020,
31.12.2020
</t>
  </si>
  <si>
    <t>1.2.9</t>
  </si>
  <si>
    <t>1.2.10</t>
  </si>
  <si>
    <t>Финансовое обеспечение подведомственных мини-стерству финансов Крас-нодарского края государ-ственных казенных учре-ждений Краснодарского края в части проведения специальной оценки усло-вий труда на рабочих ме-стах</t>
  </si>
  <si>
    <t>1.1.3.11</t>
  </si>
  <si>
    <t xml:space="preserve">министерство фи-нансов Краснодар-ского края 
</t>
  </si>
  <si>
    <t>Финансовое обеспечение подведомственных депар-таменту имущественных отношений Краснодарско-го края государственных казенных учреждений Краснодарского края в ча-сти проведения специаль-ной оценки условий труда на рабочих местах</t>
  </si>
  <si>
    <t>1.1.3.12</t>
  </si>
  <si>
    <t xml:space="preserve">департамент иму-щественных отно-шений Краснодар-ского края 
</t>
  </si>
  <si>
    <t>Финансовое обеспечение подведомственных депар-таменту по регулированию контрактной системы Краснодарского края госу-дарственных казенных учреждений Краснодар-ского края в части прове-дения специальной оценки условий труда на рабочих местах</t>
  </si>
  <si>
    <t>1.1.3.13</t>
  </si>
  <si>
    <t xml:space="preserve">департамент по ре-гулированию кон-трактной системы Краснодарского края </t>
  </si>
  <si>
    <t>1.1.3.14</t>
  </si>
  <si>
    <t>Финансовое обеспечение подведомственных депар-таменту потребительской сферы и регулирования рынка алкоголя Красно-дарского края государ-ственных казенных учре-ждений Краснодарского края в части проведения специальной оценки усло-вий труда на рабочих ме-стах</t>
  </si>
  <si>
    <t>департамент потре-бительской сферы и регулирования рынка алкоголя Краснодарского края</t>
  </si>
  <si>
    <t>Организация переобучения и повышения квалификации женщин, находящихся в отпуске по уходу за ребенком в возрасте до трех лет, а также женщин, имеющих детей дошкольного возраста, не состоящих в трудовых отношениях и обратившихся в органы службы занятости, в рамках регионального проекта "Содействие занятости женщин - создание условий дошкольного образования для детей в возрасте до трех лет"</t>
  </si>
  <si>
    <t>Организация профессионального обучения и дополнительного профессионального образования лиц в возрасте 50 лет и старше, а также лиц предпенсионного возраста в рамках регионального проекта "Разработка и реализация программы системной поддержки и повышения качества жизни граждан старшего поколения "Старшее поколение"</t>
  </si>
  <si>
    <t>22,2 тыс.</t>
  </si>
  <si>
    <t>2.23 (1)</t>
  </si>
  <si>
    <t>2.24 (1)</t>
  </si>
  <si>
    <t xml:space="preserve">министерство фи-нансов Краснодар-ского края </t>
  </si>
  <si>
    <t xml:space="preserve">департамент иму-щественных отно-шений Краснодар-ского края </t>
  </si>
  <si>
    <t>департамент по ре-гулированию кон-трактной системы Краснодарского края</t>
  </si>
  <si>
    <t>проведение двух презентаций, выпуск 5 тыс. буклетов 9листовок), размещение информации в СМИ - публикации</t>
  </si>
  <si>
    <t>ежеквартально анализируется информация о передовом опыте в области охраны труда  и размещается в информационно аналитическом бюллетене охрана труда в КК</t>
  </si>
  <si>
    <t>Салатгереева Каралина Сайгитбаталовна</t>
  </si>
  <si>
    <t>+7 (861) 259-65-04</t>
  </si>
  <si>
    <t>Дата проведения семинара перенесена в связи со сдачей центрами занятости населения ежемесячной отчетности</t>
  </si>
  <si>
    <t xml:space="preserve">департамент по делам казачества, военным вопросам и работе с допризывной молодежью Краснодарского края </t>
  </si>
  <si>
    <t xml:space="preserve">департамент вете-ринарии Красно-дарского края
</t>
  </si>
  <si>
    <t xml:space="preserve">министерство здравоохранения Краснодарского края
</t>
  </si>
  <si>
    <t xml:space="preserve">Численность работников предприятий - участников проекта национального проекта "Производительность труда и поддержка занятости", прошедших переобучение, повысивших квалификацию в целях повышения производительности труда в рамках регионального проекта "Поддержка занятости и повышение эффективности рынка труда для обеспечения роста производительности труда", нарастающим итогом
</t>
  </si>
  <si>
    <t>2.29</t>
  </si>
  <si>
    <t xml:space="preserve">Доля работников, продолжающих осуществлять трудовую деятельность, из числа работников, прошедших переобучение или повысивших квалификацию
</t>
  </si>
  <si>
    <t>2.30</t>
  </si>
  <si>
    <t xml:space="preserve">Доля занятых в численности лиц в возрасте 50 лет и старше, а также лиц предпенсионного возраста, прошедших профессиональное обучение или получивших дополнительное профессиональное образование
</t>
  </si>
  <si>
    <t>2.31</t>
  </si>
  <si>
    <t xml:space="preserve">Доля приступивших к трудовой деятельности в общей численности прошедших переобучение и повышение квалификации женщин, находящихся в отпуске по уходу за ребенком, а также женщин, имеющих детей дошкольного возраста
</t>
  </si>
  <si>
    <t>1182/228</t>
  </si>
  <si>
    <t>Салатгереева Каралина Сайгитбаталовна, 
+7 (861) 259-65-04</t>
  </si>
  <si>
    <t>Начальник отдела анализа, прогноза и мониторинга трудовых ресурсов в управлении занятости населения Скоробогатько А.В.</t>
  </si>
  <si>
    <t>Причины не достижения фактического значения показателя в отчетном периоде</t>
  </si>
  <si>
    <t xml:space="preserve">Доля соискателей - получателей услуг по подбору вакансий центров занятости населения, в которых реализованы проекты по модернизации, удовлетворенных полученными услугами
</t>
  </si>
  <si>
    <t xml:space="preserve">Доля работодателей - получателей услуг по подбору работников центров занятости населения, в которых реализованы проекты по модернизации, удовлетворенных полученными услугами
</t>
  </si>
  <si>
    <t xml:space="preserve">начальник отдела специальных про-грамм и сопровож-дения занятости инвалидов в управлении занятости населения 
Михайловская Л.Д.
</t>
  </si>
  <si>
    <t>30.09.2020,
31.12.2020</t>
  </si>
  <si>
    <t>Организация переобучения и повышения квалификации женщин, находящихся в отпуске по уходу за ребенком в возрасте до трех лет, а также женщин, имеющих детей дошкольного возраста, не состоящих в трудовых отношениях и обратившихся в органы службы занятости, в рамках регионального проекта «Содействие занятости женщин – создание условий дошкольного образования для детей в возрасте до трех лет»</t>
  </si>
  <si>
    <t>Организация профессионального обучения и дополнительного профессионального образования лиц в возрасте 50-ти лет и старше, а также лиц пред-пенсионного возраста в рамках регионального проекта «Разработка и реализация программы системной поддержки и повышения качества жизни граждан старшего поколения «Старшее поколение»</t>
  </si>
  <si>
    <t xml:space="preserve">начальник отдела трудоустройства и организации профессионального обучения в управлении занятости населения министерства труда и социального развития Краснодарского края
Слепченко М.В.
</t>
  </si>
  <si>
    <t xml:space="preserve">начальник отдела анализа, прогноза и мониторинга трудовых ресурсов в управлении занятости населения
Скоробогатько А.В.,
начальник отдела автоматизации и информационных технологий
Воробьев Е.Е.
</t>
  </si>
  <si>
    <t xml:space="preserve">начальник отдела управления охраны труда и социальных гарантий в управлении труда министерства труда и социального развития Краснодарского края
Мацокин А.М.
</t>
  </si>
  <si>
    <t>Финансовое обеспечение подведомственных департаменту ветеринарии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</si>
  <si>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министерство гражданской обороны  и чрезвычайных ситуаций Краснодарского края
</t>
  </si>
  <si>
    <t>Финансовое обеспечение подведомственных департаменту по делам казачества и военным вопросам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</si>
  <si>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финансов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</si>
  <si>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имущественных отношений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</si>
  <si>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по регулированию контрактной системы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</si>
  <si>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потребительской сферы и регулирования рынка алкоголя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</si>
  <si>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Информирование потенциальных участников Государственной программы и членов их семей, за исключением мероприятий, предусмотренных пунктом 1.1.1 подпрограммы «Оказание содействия добровольному переселению в Краснодарский край соотечественников, проживающих за рубежом</t>
  </si>
  <si>
    <t>Компенсация расходов участников Государственной программы и членов их семей на первичное медицинское обследование</t>
  </si>
  <si>
    <t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</t>
  </si>
  <si>
    <t>Организация предоставления дополнительного профессионального образования участникам Государственной программы и членам их семей</t>
  </si>
  <si>
    <t>Содействие в трудоустройстве участников Государственной программы и членов их семей на вакантные рабочие места</t>
  </si>
  <si>
    <t>Номер основного мероприятия, контрольного события, мероприятия</t>
  </si>
  <si>
    <t>Наименование подпрограммы, отдельного мероприятия, ведомственной целевой программы, контрольного события</t>
  </si>
  <si>
    <t>Ответственный за реализацию мероприятия, выполнение контрольного события</t>
  </si>
  <si>
    <t>министерство обра-зования, науки и молодежной политики Краснодарского края</t>
  </si>
  <si>
    <t>Финансовое обеспечение подведомственных министерству гражданской обороны  и чрезвычайных ситуаций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</si>
  <si>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Номер  мероприятия</t>
  </si>
  <si>
    <t>Заключено государственных контрактов на отчетную дату, тыс. Рублей</t>
  </si>
  <si>
    <t xml:space="preserve">Отметка о выполнении мероприятия </t>
  </si>
  <si>
    <t xml:space="preserve">Причины невыполнения (несвоевременного выполнения) мероприятия </t>
  </si>
  <si>
    <t>1.1.14</t>
  </si>
  <si>
    <t xml:space="preserve">Предоставление субсидий работодателям (юридическим лицам (за исключением субсидий государственным (муниципальным) учреждениям) и индивидуальным предпринимателям) в целях возмещения расходов на частичную оплату труда при организации общественных работ для граждан, ищущих работу и обратившихся в органы службы занятости, а также безработных граждан
</t>
  </si>
  <si>
    <t>численность граждан, принявших участие в общественных работах</t>
  </si>
  <si>
    <t>2.32</t>
  </si>
  <si>
    <t>Численность трудоустроенных на общественные работы граждан, ищущих работу и обратившихся в органы службы занятости</t>
  </si>
  <si>
    <t>2.33</t>
  </si>
  <si>
    <t>Численность трудоустроенных на общественные работы безработных граждан</t>
  </si>
  <si>
    <t>2.34</t>
  </si>
  <si>
    <t>Коэффициент напряженности на рынке труда</t>
  </si>
  <si>
    <t>реализуются или реализованы проекты по модернизации в 1 государственном казенном учреждении Краснодарского края центре занятости населения</t>
  </si>
  <si>
    <t>Проведены краевые конкурсы: "Лучший специалист по охране труда Краснодарского края" и детских рисунков "Я выбираю безопасный труд"</t>
  </si>
  <si>
    <t>05.03.2020,
14.07.2020</t>
  </si>
  <si>
    <t>30.03.2020,
29.06.2020,
30.09.2020,
31.12.2020</t>
  </si>
  <si>
    <t>Итоги прогноза дополнительной потребности отраслевых организаций Краснодарского края в квалифицированных кадрах на период до 2027 года сформированы и направлены в министерство образования, науки и молодежной политики Краснодарского края</t>
  </si>
  <si>
    <t>Причины неполного финансирования (отсутствия финансирования)</t>
  </si>
  <si>
    <t>предшествующий отчетный год</t>
  </si>
  <si>
    <t>\</t>
  </si>
  <si>
    <t>Причины несоблюдения планового срока реализации, неполного финансирования (отсутствия финансирования)</t>
  </si>
  <si>
    <t xml:space="preserve">Предоставление субсидий работодателям (юридическим лицам (за исключением субсидий государственным (муниципальным) учреждениям) и индивидуальным предпринимателям) в целях возмещения расходов на частичную оплату труда при организации общественных работ для граждан, ищущих работу и обратившихся в органы службы занятости,
а также безработных граждан
</t>
  </si>
  <si>
    <t>в связи с увеличением численности зарегистрированных безработных граждан</t>
  </si>
  <si>
    <t>в связи с введением в Краснодарском крае ограничительных мероприятий (карантина) центрами занятости населения предоставление государственной услуги не осуществлялось с марта по июнь 2020 г</t>
  </si>
  <si>
    <t xml:space="preserve">в связи с введением в Краснодарском крае ограничительных мероприятий (карантина) центрами занятости населения предоставление государственной услуги по организации общественных работ не осуществлялось с марта по июнь 2020 г. </t>
  </si>
  <si>
    <t>В период действия ограничительных мероприятий временная приостановка работы рядом организаций привела к снижению в 2 раза количества заявленных вакансий, отсутствие возможности посещения гражданами центров занятости населения и их приема для выдачи направлений на работу привело к уменьшению в 
апреле – июне 2020 года численности трудоустроенных граждан</t>
  </si>
  <si>
    <t>в связи с введением в Краснодарском крае ограничительных мероприятий (карантина) центрами занятости населения предоставление государственной услуги не осуществлялось с марта по июнь 2020 года</t>
  </si>
  <si>
    <t>за 2020 год</t>
  </si>
  <si>
    <t>Отношение численности граждан, снятых с регистрационного учета в связи с трудоустройством, к общей численности граждан, обратившихся в органы службы занятости населения за содействием в поиске подходящей работы</t>
  </si>
  <si>
    <t>10.01.2020,
10.02.2020,
10.03.2020,
09.04.2020,
15.05.2020,
15.06.2020,
14.07.2020,
10.08.2020,
15.09.2020,
21.10.2020,
19.11.2020,
15.12.2020,
15.01.2021</t>
  </si>
  <si>
    <t xml:space="preserve">Контрольное событие 1.1.14
Проведение семинара со специалистами центров занятости населения по вопросам предоставления субсидий работодателям в целях возмещения расходов на частичную оплату труда при организации общественных работ для граждан, ищущих работу и обратившихся в ор-ганы службы занятости, а также безработных граждан </t>
  </si>
  <si>
    <t>Контрольное событие 15.1 Проведение семинаров со специалистами центров занятости населения по 
вопросам соблюдения законодательства и административного регламента 
предоставления государственной услуги по профессиональному обучению и дополнительному профессиональному образованию безработных граждан, включая обучение в другой местности</t>
  </si>
  <si>
    <t xml:space="preserve">начальник планово-финансового отдела
Зенкин Р.С.
</t>
  </si>
  <si>
    <t>начальник отдела анализа, прогноза и мониторинга трудовых ресурсов в управлении занятости населения Скоробогатько А.В.</t>
  </si>
  <si>
    <t>выпуск 5 тыс. буклетов (листовок)</t>
  </si>
  <si>
    <t>снижение на 4,5%</t>
  </si>
  <si>
    <t>Снижение показателя связанно с временной приостановкой хозяйственной деятельности организаций, указанных в постановлении от 13 марта 2020 г. № 129 "О введении режима повышенной готовности на территории Краснодарского края и мерах по предотвращению распространения новой коронавирусной инфекции (COVID-2019)"</t>
  </si>
  <si>
    <t>Экономия 14,4 тыс. рублей, сложившаяся в результате конкурсных процедур</t>
  </si>
  <si>
    <t>Экономия 26,3 тыс. рублей, сложившаяся в результате конкурсных процедур</t>
  </si>
  <si>
    <t>в ходе проведения специальной оценки выявлены рабочие места, не подлежащие проведению специальной оценки</t>
  </si>
  <si>
    <t>1 рабочее место стало вакантно на дату проведения работ. Специальная оценка условий труда проводится только на занятых рабочих местах</t>
  </si>
  <si>
    <t>1 рабочее место сокращено, 1 рабочее место подлежит сокращению</t>
  </si>
  <si>
    <t>За 12 месяцев 2020 года охват мониторингом составил  84,4 % от общего количества работающих в крае</t>
  </si>
  <si>
    <t>выплолнено</t>
  </si>
  <si>
    <t xml:space="preserve">Разработан приказ  от 21.02.2020 
№ 194 "О проведении краевого конкурса "Лучший специалист по охране труда 
Краснодарского края – 2020", приказ МТиСР КК от 25.09.2020 
№ 1361 о проведении месячника "Безопасный труд в организациях строительной отрасли", приказ от 30.09.2020 № 1380 "О проведении краевого конкурса детских рисунков "Я выбираю безопасный труд". </t>
  </si>
  <si>
    <t>Постановлением Правительства РФ от 3 апреля  2020 г. № 440 "О продлении действия разрешений   и иных особенностях в отношении разрешительной деятельности в 2020 году" срок действия результатов проведения специальной оценки условий труда, истекающий в период с апреля по сентябрь 2020 г., продлевался до 1 октября 2020 г. (на 6 месяцев)</t>
  </si>
  <si>
    <t>в связи с увеличением числа рабочих мест, на которых проведена специальная оценка условий труда, выявлены дополнительные вредные и опасные производственные факторы</t>
  </si>
  <si>
    <t>в связи с вновь установленными профессиональными заболеваниями, вызванными распространением новой коронавирусной инфекцией COVID-19</t>
  </si>
  <si>
    <t>26.03.2020,
25.06.2020,
24.09.2020
17.12.2020</t>
  </si>
  <si>
    <t>26.03.2020,
25.06.2020,
22.09.2020
15.12.2020</t>
  </si>
  <si>
    <t>23 тыс.</t>
  </si>
  <si>
    <t>2563/227</t>
  </si>
  <si>
    <t>Поступило 100 запросов на 666 рабочих мест,  подготовлено 100 заключений: о целесообразности или частичной целесообразности привлечения иностранных работников 99 заключения, 1 заключение о нецелесообразности привлечения иностранных работников. Согласовано привлечение иностранных работников на 662 рабочих места, из них 379 в рамках установленной квоты</t>
  </si>
  <si>
    <t xml:space="preserve">Прогноз баланса трудовых ресурсов Краснодарского края до 2023 года разработан и направлен в министерство экономики Краснодарского края 30 сентября 2020 г. </t>
  </si>
  <si>
    <t>отсутствие потребности у участников программы и членов их семей в первичном медицинском обследовании</t>
  </si>
  <si>
    <t>отсутствие потребности у участников программы и членов их семей в признании образования</t>
  </si>
  <si>
    <t>отсутствие потребности у участников программы и членов их семей в дополнительном профессиональном образовании</t>
  </si>
  <si>
    <t>в связи с отсутсвием потребности в трудоустройстве</t>
  </si>
  <si>
    <t xml:space="preserve"> Законом РФ от 07.04.2020 г. № 108-ФЗ внесены изменения в статью 7.1-1 Закона Российской Федерации "О занятости населения в Российской Федерации", в рамках которых информирование о положении на рынке труда в субъекте РФ исключено из перечня государственных услуг, оказываемых органами государственной власти субъектов Российской Федерации области содействия занятости населения</t>
  </si>
  <si>
    <t>в связи с введением ограничительных мер (карантина), связанных с угрозой распространения новой коронавирусной инфекции (COVID-19) на территории Российской Федерации и закрытием границ в странах исхода соотечественников, организация и проведение</t>
  </si>
  <si>
    <t>в связи с отсутсвием заявок работодателей на проведение общественных работ</t>
  </si>
  <si>
    <t>в связи с ограничениями по проведению массовых мероприятий</t>
  </si>
  <si>
    <t>в связи с отказом налоговой инспекции в регистрации в качестве индивидуального предпринимателя (техническая ошибка в заполнении документов)</t>
  </si>
  <si>
    <t xml:space="preserve">Остаток 2883,5 тыс. руб., в т.ч. 19,5 тыс.руб. - экономия по услугам на доставку и перечисление; 2864,0 тыс. руб. - экономия в результате сокращения периода обучения </t>
  </si>
  <si>
    <t>Остаток 290,8 тыс. руб., в том числе 35,3 тыс.руб. - экономия по банковским услугам; 255,5 тыс. руб. - не востребованная мат. помощь (заявительный принцип обращения в службу занятости)</t>
  </si>
  <si>
    <t>Остаток 52,2 тыс. руб., в том числе: 49,1 тыс. руб. - экономия по банковским услугам; 3,1 тыс. руб. - не востребованная мат. помощь (заявительный принцип обращения в службу занятости)</t>
  </si>
  <si>
    <t>Кассовый расход не осуществлялся в связи с введением ограничительных мер (карантина), связанных с угрозой распространения новой коронавирусной инфекции (COVID-19) на территории Российской Федерации и закрытием границ в странах исхода соотечественников, организация и проведение</t>
  </si>
  <si>
    <t>Остатаок 88,5 тыс. рублей, в связи с отсутствием потребности у участников программы и членов их семей в первичном медицинском обследовании</t>
  </si>
  <si>
    <t>Кассовый расход не осуществлялся в связи с отсутствием потребности у участников программы и членов их семей в признании образования</t>
  </si>
  <si>
    <t>Кассовый расход не осуществлялся в связи с отсутствием потребности у участников программы и членов их семей в дополнительном профессиональном образовании</t>
  </si>
  <si>
    <t>ЦЗН г. Краснодара - 76,0 %;
ЦЗН г. Новороссийска - 67,3 %</t>
  </si>
  <si>
    <t>ЦЗН г. Краснодара - 77,5 %;
ЦЗН г. Новороссийска - 66,7 %</t>
  </si>
  <si>
    <t xml:space="preserve">20 работодателям отказано в предоставлении субсидии по итогам рассмотрения предоставленных документов по причине задолженности по уплате неналоговых доходов в виде арендной платы за использование земельных участков и имущества, находящихся в государственной собственности Краснодарского края; неисполненной обязанности по уплате налогов, сборов, страховых взносов, пеней, штрафов, процентов, подлежащих уплате в соответствии с законодательством Российской Федерации о налогах и сборах; привлечения к административной ответственности за нарушение миграционного законодательства Российской Федерации. 
Кроме того, 62 работодателя не предоставили документы для получения субсидии.
Отсутствие у работодателей потребности в организации общественных работ для граждан на условиях возмещения расходов в связи с нехваткой финансовых средств, вызванной ограничительными мероприятиями, а также окончанием проведения сельскохозяйственных работ и курортного сезона  </t>
  </si>
  <si>
    <t>в связи с ограничительными мерами (карантином), направленными на предотвращение новой коронавирусной инфекции (COVID-19) и принятием в 2019 году изменений и новых нормативных правовых актов, направленных на упрощение процедуры приема в гражданство Российской Федерации и имеющих более привлекательные условия приобретения гражданства Российской Федерации</t>
  </si>
  <si>
    <t xml:space="preserve">Предусмотрено самостоятельное жилищное обустройство </t>
  </si>
  <si>
    <t>в связи с отсутсвием потребности в признании иностранных документов об образовании и профессиональном обучении участников программы и членов их семей, расходы краевого бюджета осуществлялись только на первичное медицинское обследование</t>
  </si>
  <si>
    <t>по данным анкетирования 3 участника и члены их семей получают среднее профессиональное и высшее образование на территории Краснодарского края</t>
  </si>
  <si>
    <t>по данным анкетирования участники и члены их семей в качестве индивидуальных предпринимателей не регистрировались</t>
  </si>
  <si>
    <t>постоянное и временное жилищное обустройство осуществляется участниками самостоятельно (п. 4.3 регламента приема участников. Приказ МТиСР КК от 01.08.2016 № 917)</t>
  </si>
  <si>
    <t xml:space="preserve">работодателям отказано в предоставлении субсидии по итогам рассмотрения предоставленных документов по причине задолженности по уплате неналоговых доходов, неисполненной обязанности по уплате налогов, сборов, страховых взносов, пеней, штрафов, процентов, привлечения к административной ответственности за нарушение миграционного законодательства Российской Федерации. </t>
  </si>
  <si>
    <t>Остаток 29627,7 тыс. рублей в связи с тем, что работодателям отказано в предоставлении субсидии по итогам рассмотрения предоставленных документов по причине задолженности по уплате неналоговых доходов, неисполненной обязанности по уплате налогов, сборов, страховых взносов, пеней, штрафов, процентов, привлечения к административной ответственности за нарушение миграционного законодательства РФ</t>
  </si>
  <si>
    <t xml:space="preserve">10.01.2020,
10.02.2020,
10.03.2020,
09.04.2020,
15.05.2020,
15.06.2020, 14.07.2020, 10.08.2020, 15.09.2020,
20.10.2020,
20.11.2020,
25.12.2020,
20.01.2020 </t>
  </si>
  <si>
    <t>30.09.2020,
25.12.2020</t>
  </si>
  <si>
    <t>30.03.2020,
30.06.2020, 30.09.2020,
31.12.2020</t>
  </si>
  <si>
    <t>заявительный характер выплат</t>
  </si>
  <si>
    <t>Экономия, сложившаяся по факту выполнения мероприятия (отсутствие потребности безработных граждан в оказании компенсации проезда и проживания)</t>
  </si>
  <si>
    <t>Экономия, сложившаяся в результате конкурсных процедур</t>
  </si>
  <si>
    <t>Экономия, сложившаяся по факту выполнения мероприятия (отсутсвие заявок работодателей на проведение общественных работ)</t>
  </si>
  <si>
    <t>Экономия, сложившаяся в связи с отказом налоговой инспекции в регистрации в качестве индивидуального предпринимателя (техническая ошибка в заполнении документов)</t>
  </si>
  <si>
    <t>Экономия, сложившаяся в результате конкурсных процедур, в ходе которых средняя стоимость обучения составила 5,1 тыс. рублей</t>
  </si>
  <si>
    <t>Экономия, сложившаяся в результате конкурсных процедур, в ходе которых средняя стоимость обучения составила 6,5 тыс. рублей</t>
  </si>
  <si>
    <t>Экономия по результатам конкурсных процедур, остаток бюджетных обязательств для оплаты за декабрь ЖКУ</t>
  </si>
  <si>
    <t>В связи с отсутствием потребности у участников программы и членов их семей в первичном медицинском обследовании</t>
  </si>
  <si>
    <t>1.6.1</t>
  </si>
  <si>
    <t>Обеспечение ведомственного контроля за соблюдением трудового законодательства и иных нормативных правовых актов, содержащих нормы  трудового права</t>
  </si>
  <si>
    <t>методиеская помощь уполномоченным органам в отношении проводимых ими подведомственных организациях проверок</t>
  </si>
  <si>
    <t>1.6.2</t>
  </si>
  <si>
    <t xml:space="preserve">Внесение на рассмотрение Краснодарской краевой трехсторонней комиссии по регулированию социально-трудовых отношений вопросов по соблюдению трудового законодательства и иных нормативных правовых актов, содержащих вопросы регулирования социально трудовых отношений (включая вопросы неформальной занятости, задолженности по заработной плате, осуществления профсоюзного контроля за соблюдением трудового законодательства и иных нормативных правовых актов, содержащих нормы  трудового права) </t>
  </si>
  <si>
    <t>рассмотрение вопросов</t>
  </si>
  <si>
    <t>Разработаны методические рекомендации для работодателей по соблюдению ведомственного контроля за соблюдением трудового законодательства и иных нормативных правовых актов, содержащих нормы  трудового права. Методические рекомендации размещены на сайте министерства.</t>
  </si>
  <si>
    <t>Рассмотрено 2 вопроса: о легализации трудовых отношений в организациях Краснодарского края, о проводимой работе по выявлению и принятию мер, направленных на погашение организациями Краснодарского края задолженности по заработной плате</t>
  </si>
  <si>
    <t>Работодателям отказано в предоставлении субсидии по итогам рассмотрения предоставленных документов по причине задолженности по уплате неналоговых доходов, неисполненной обязанности по уплате налогов, сборов, страховых взносов, пеней, штрафов, процентов, привлечения к административной ответственности за нарушение миграционного законодательства РФ</t>
  </si>
  <si>
    <t>В связи с введением ограничительных мероприятий (карантина) хозяйственная деятельность работодателей была ограничена, заявки на предоставление субсидии начали поступать в сентябре 2020 г.</t>
  </si>
  <si>
    <t>Экономия, сложившаяся по результатам конкурсных процедур</t>
  </si>
  <si>
    <t xml:space="preserve">Экономия, сложившаяся по результатам конкурсных процедур, а также в связи с планированием проведения работ по капитальному ремонту помещения ЦЗН г. Абинска не проведена специальная оценка условий труда </t>
  </si>
  <si>
    <t>Экономия, сложившаяся по результатам конкурсных процедур, а также в ходе проведения специальной оценки выявлены аналогичные рабочие места, не подлежащие проведению специальной оценки</t>
  </si>
  <si>
    <t>Экономия, сложившаяся по результатам конкурсных процедур, а также на дату проведения работ по специальной оценки условий труда 1 рабочее место стало вакантно</t>
  </si>
  <si>
    <t>Экономия, сложившаяся по результатам конкурсных процедур, а также 1 рабочее место сокращено, 1 рабочее место подлежит сокращению</t>
  </si>
  <si>
    <t xml:space="preserve"> в связи с введением  ограничительных мероприятий (карантина) групповые профориентационные мороприятия не проводились</t>
  </si>
  <si>
    <t>в связи с ограничительными мероприятиями (карантина) профориентационные массовые мероприятия не проводились</t>
  </si>
  <si>
    <t>Экономия 1,1 тыс. рублей, сложившаяся по результатам конкурсных процедур</t>
  </si>
  <si>
    <t>Экономия 0,9 тыс. рублей, сложившаяся по результатам конкурсных процедур</t>
  </si>
  <si>
    <t>Экономия 1358,6 тыс. рублей, сложившаяся по результатам конкурсных процедур</t>
  </si>
  <si>
    <t>Экономия 695,5 тыс. рублей, сложившаяся по результатам конкурсных процедур</t>
  </si>
  <si>
    <t>В связи с планированием проведения работ по капитальному ремонту помещения ЦЗН г. Абинска не проведена специальная оценка на рабочих местах</t>
  </si>
  <si>
    <t>Экономия 9,5 тыс. рублей, сложившаяся по результатам проведения конкурснывх процедур</t>
  </si>
  <si>
    <t>в связи с заявительным принципом присвоения аккредитованным в установленном порядке обучающим организациям статуса отраслевого учебного методического центра по охране труда</t>
  </si>
  <si>
    <t>В период действия ограничительных мероприятий временная приостановка работы рядом организаций привела к снижению в 2 раза количества заявленных вакансий, отсутствие возможности посещения гражданами центров занятости населения и их приема для выдачи направлений на работу привело к уменьшению в 
апреле – июне 2020 года численности трудоустроенных граждан.
Также рост безработицы вызван выходом в период действия ограничительных мероприятий на рынок труда длительно не работающих граждан (более года) или впервые ищущих работу 
(54 % от общей численности безработных), возможностью дистанционного оформления пособия по безработице через информационно-аналитическую систему "Общероссийская база вакансий "Работа в России". Также на ситуацию с безработицей в Краснодарском крае повлияли увеличение в полтора раза максимального и в три раза минимального размеров пособия по безработице; дополнительные выплаты на детей до 18 лет; продление выплаты пособия на 3 месяца; выплата максимального размера пособия по безработице индивидуальным предпринимателям</t>
  </si>
  <si>
    <t xml:space="preserve">В связи с введением ограничительных мероприятий (карантина) центрами занятости населения предоставление государственной услуги не осуществлялось с марта по июнь 2020 г.
Сокращен период участия граждан во временных работах (средний период участия составил 0,36 мес., или 72% от запланированного (0,5 мес.)).
</t>
  </si>
  <si>
    <t>* Отклонение между объемом финансирования предусмотренным государственной программой и сводной бюджетной росписью на 521652,6 тыс. рублей связано с тем, что после внесения соответствующих изменений в государственную программу министерством были вовзращены средства федерального бюджета по пунктам 1.1.14, 1.3.1.1, 1.3.1.3 
и 1.3.1.5 подпрограммы № 1</t>
  </si>
  <si>
    <t>0,771/22,7</t>
  </si>
  <si>
    <t>в связи с временной приостановкой работы рядом организаций в период действия ограничительных мероприятий (карантина) на территории Краснодарского края  произошло снижение количества заявленных вакансий, также в связи с введением центрами занятости населения дистанционного взаимодействия личный прием граждан не осуществлялся, что привело к уменьшению в апреле – июне 2020 года численности трудоустроенных граждан</t>
  </si>
  <si>
    <t>в связи с временной приостановкой работы рядом организаций в период действия ограничительных мероприятий (карантина) произошло снижение  количества заявленных вакансий</t>
  </si>
  <si>
    <t>в связи с временной приостановкой работы рядом организаций в период действия ограничительных мероприятий (карантина) произошло снижение количества заявленных вакансий</t>
  </si>
  <si>
    <t xml:space="preserve">в связи с продлением срока действия результатов проведения специальной оценки условий труда до 1 октября 
2020 г. </t>
  </si>
  <si>
    <t>Экономия 512,5 тыс. рублей, сложившаяся по факту выполнения мероприятия (гражданами не предоставлены документы, подтверждающие расходы по найму жилья и оплате проезда к новому месту работы)</t>
  </si>
  <si>
    <t>Остаток средств в сумме 68,8 тыс. рублей, сложившийся в реультате ограничительных мер на проведение массовых мероприятий в период карантина</t>
  </si>
  <si>
    <t xml:space="preserve">Остаток 6551,6 тыс рублей, сложившийся по факту выполнения мероприятия (экономия в результате конкурсных процедур и остаток бюджетных обязательств для оплаты ЖКУ за декабрь) </t>
  </si>
  <si>
    <t>Остаток в сумме 336,3 тыс. рублей, сложившийся по факту выполнения мероприятия (выявлены рабочие места, не подлежащие проведению специальной оценки)</t>
  </si>
  <si>
    <t>Экономия 4972,3, в том числе 1 350,7  тыс. рублей -  ФБ, 3 622,2 тыс. рублей  - КБ, сложившаяся по результатам конкурсных процедур, в ходе которых средняя стоимость обучения составила 5,1 тыс. рублей</t>
  </si>
  <si>
    <t>Экономия 1176,2 тыс. рублей, в том числе 947,1 тыс. руб. - ФБ и 229,1 тыс. руб. -КБ, сложившаяся по результатам конкурсных процедур, в ходе которых средняя стоимость обучения составила 6,5 тыс. рублей</t>
  </si>
  <si>
    <t>Первый заместитель министра</t>
  </si>
  <si>
    <t>Д.А. Ирхин</t>
  </si>
  <si>
    <t>на 17,9%</t>
  </si>
  <si>
    <t>на 21%</t>
  </si>
  <si>
    <t>Остаток 48344,3 тыс.руб., в т.ч. 641,8 тыс.руб - экономия по услугам на доставку и перечисление;             47702,5 тыс. руб. -  не востребованное пособие (заявительный принцип обращения)</t>
  </si>
  <si>
    <t>Остаток 125,2 тыс. рублей, сложившийся по факту выполнения мероприятия (не проведена специальная оценка на рабочих местах ЦЗН г. Абинска в связи с проведением работ  по кап.ремонту помещений)</t>
  </si>
  <si>
    <t>Остаток средств в сумме 39,2 тыс. рублей, сложившийся по результатам конкурсных процедур</t>
  </si>
  <si>
    <t>в связи с исключением информирования о положении на рынке труда из перечня государственных услуг</t>
  </si>
  <si>
    <t xml:space="preserve">Остаток средств в сумме 75,9 тыс. рублей, сложившийся в соответствии с постановлением главы администрации (губернатора) Краснодарского края от 13 марта 2020 г. № 129 «О введении режима повышенной готовности на территории Краснодарского края и мерах по предотвращению распространения новой коронавирусной инфекции (COVID-19)» </t>
  </si>
  <si>
    <t>Остаток средств в сумме 3189,5 тыс. рублей. Планируемый объем финансирования  сформирован по запросу отделения Пенсионного фонда России по Краснодарскому краю (невостребованные средства ПФР)</t>
  </si>
  <si>
    <t xml:space="preserve">Остатаок 52,0 тыс. рублей, в связи с введением ограничительных мер (карантина), связанных с угрозой распространения новой коронавирусной инфекции (COVID-19) на территории Российской Федерации и закрытием границ </t>
  </si>
  <si>
    <t>Остатаок 13,0 тыс. рублей, в связи с отсутствием потребности у участников программы и членов их семей в признании образования</t>
  </si>
  <si>
    <t>Остатаок 50,0 тыс. рублей, в связи с отсутствием потребности у участников программы и членов их семей в дополнительном профессиональном образовании</t>
  </si>
  <si>
    <t>Остаток 180,4 тыс. рублей, сложившийся по факту выполнения мероприятия</t>
  </si>
  <si>
    <t xml:space="preserve">Экономия 1561,8 тыс. рублей, сложившаяся в виду сокращения фактического периода участия граждан во временных работах
</t>
  </si>
  <si>
    <t>Остаток средств в сумме 360,2 тыс. рублей: 291,1 тыс. рублей, в связи с отказом налоговой инспекции в регистрации в качестве индивидуального предпринимателя (техническая ошибка в заполнении документов), 69,1 тыс. рублей, в связи с увеличением размера единовременной финансовой помощи при государственной регистрации.</t>
  </si>
  <si>
    <t>Экономия 147,4 тыс. рублей, в связи с сокращением периода возмещения затрат</t>
  </si>
  <si>
    <t>Остаток 17,2 тыс. рублей, в т.ч. 16,2 тыс. рублей, сложившийся по результатам проведения конкурснывх процедур, 1,0 тыс. рублей, так как на дату проведения работ по специальной оценке условий труда 1 рабочее место стало вакантно</t>
  </si>
  <si>
    <t>Остаток 37,4 тыс. рублей, в т.ч. сложившаяся по результатам проведения конкурснывх процедур, 2,0 тыс. рублей, так как 1 рабочее место сокращено, 1 рабочее место подлежит сокращению.</t>
  </si>
  <si>
    <t>в связи с действием ограничительных мероприятий (карантина) и временной приостановки работы рядом организаций</t>
  </si>
  <si>
    <t>Начальник отдела координации 
национальных проектов и государственных программ</t>
  </si>
  <si>
    <t>по данным анкетирования из 150 человек (участники с членами семьи) 94 - трудоспособных</t>
  </si>
  <si>
    <t>всего поступило в 2020 г. 85 заявлений, из них рассмотрено 84 заявления (13 заявлений, поступивших с  2019 г. и 71 заявление, поступившее в 2020 г.),  
1 находится на согласовании и перешло на 2021 год в соответствии со сроками рассмотрения, установленными УВМ ГУ МВД России по Краснодарскому краю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</si>
</sst>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_(* #,##0_);_(* \(#,##0\);_(* &quot;-&quot;_);_(@_)"/>
    <numFmt numFmtId="168" formatCode="_(&quot;$&quot;* #,##0_);_(&quot;$&quot;* \(#,##0\);_(&quot;$&quot;* &quot;-&quot;_);_(@_)"/>
    <numFmt numFmtId="169" formatCode="_(* #,##0.00_);_(* \(#,##0.00\);_(* &quot;-&quot;??_);_(@_)"/>
    <numFmt numFmtId="170" formatCode="0.0%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 Cyr"/>
    </font>
    <font>
      <sz val="11"/>
      <name val="Calibri"/>
      <family val="2"/>
      <charset val="204"/>
      <scheme val="minor"/>
    </font>
    <font>
      <vertAlign val="superscript"/>
      <sz val="10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name val="Calibri"/>
      <family val="2"/>
      <charset val="204"/>
      <scheme val="minor"/>
    </font>
    <font>
      <sz val="9.5"/>
      <name val="Times New Roman"/>
      <family val="1"/>
      <charset val="204"/>
    </font>
    <font>
      <vertAlign val="superscript"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vertAlign val="superscript"/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11" fillId="0" borderId="0"/>
    <xf numFmtId="0" fontId="12" fillId="0" borderId="0"/>
    <xf numFmtId="0" fontId="11" fillId="0" borderId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1" fillId="0" borderId="0"/>
    <xf numFmtId="0" fontId="19" fillId="0" borderId="0"/>
    <xf numFmtId="0" fontId="20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0" fontId="21" fillId="0" borderId="0"/>
    <xf numFmtId="38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1" fillId="0" borderId="0"/>
    <xf numFmtId="164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242">
    <xf numFmtId="0" fontId="0" fillId="0" borderId="0" xfId="0"/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4" fillId="0" borderId="0" xfId="0" applyFont="1" applyFill="1" applyAlignment="1"/>
    <xf numFmtId="0" fontId="5" fillId="3" borderId="0" xfId="0" applyFont="1" applyFill="1"/>
    <xf numFmtId="0" fontId="5" fillId="2" borderId="0" xfId="0" applyFont="1" applyFill="1"/>
    <xf numFmtId="166" fontId="5" fillId="2" borderId="0" xfId="0" applyNumberFormat="1" applyFont="1" applyFill="1"/>
    <xf numFmtId="0" fontId="2" fillId="2" borderId="0" xfId="0" applyFont="1" applyFill="1" applyAlignment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0" fontId="5" fillId="2" borderId="0" xfId="3" applyFont="1" applyFill="1"/>
    <xf numFmtId="166" fontId="5" fillId="2" borderId="0" xfId="3" applyNumberFormat="1" applyFont="1" applyFill="1"/>
    <xf numFmtId="0" fontId="16" fillId="2" borderId="1" xfId="0" applyFont="1" applyFill="1" applyBorder="1" applyAlignment="1">
      <alignment vertical="center" wrapText="1"/>
    </xf>
    <xf numFmtId="0" fontId="17" fillId="2" borderId="0" xfId="0" applyFont="1" applyFill="1" applyAlignment="1"/>
    <xf numFmtId="0" fontId="29" fillId="2" borderId="0" xfId="0" applyFont="1" applyFill="1"/>
    <xf numFmtId="0" fontId="0" fillId="2" borderId="0" xfId="0" applyFill="1"/>
    <xf numFmtId="0" fontId="4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30" fillId="2" borderId="0" xfId="10" applyFont="1" applyFill="1"/>
    <xf numFmtId="0" fontId="13" fillId="2" borderId="0" xfId="10" applyFont="1" applyFill="1"/>
    <xf numFmtId="0" fontId="13" fillId="2" borderId="0" xfId="10" applyFont="1" applyFill="1" applyAlignment="1">
      <alignment wrapText="1"/>
    </xf>
    <xf numFmtId="0" fontId="5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0" fillId="0" borderId="0" xfId="0" applyFill="1"/>
    <xf numFmtId="0" fontId="0" fillId="2" borderId="0" xfId="0" applyFill="1"/>
    <xf numFmtId="0" fontId="0" fillId="2" borderId="0" xfId="0" applyFill="1" applyAlignment="1">
      <alignment wrapText="1"/>
    </xf>
    <xf numFmtId="0" fontId="2" fillId="2" borderId="0" xfId="1" applyFont="1" applyFill="1"/>
    <xf numFmtId="166" fontId="2" fillId="2" borderId="0" xfId="1" applyNumberFormat="1" applyFont="1" applyFill="1"/>
    <xf numFmtId="0" fontId="23" fillId="2" borderId="0" xfId="0" applyFont="1" applyFill="1"/>
    <xf numFmtId="49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vertical="center" wrapText="1"/>
    </xf>
    <xf numFmtId="49" fontId="2" fillId="0" borderId="0" xfId="0" applyNumberFormat="1" applyFont="1" applyFill="1"/>
    <xf numFmtId="0" fontId="2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166" fontId="5" fillId="3" borderId="0" xfId="0" applyNumberFormat="1" applyFont="1" applyFill="1"/>
    <xf numFmtId="0" fontId="16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/>
    <xf numFmtId="0" fontId="5" fillId="2" borderId="0" xfId="0" applyFont="1" applyFill="1"/>
    <xf numFmtId="166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2" borderId="1" xfId="0" applyFont="1" applyFill="1" applyBorder="1" applyAlignment="1">
      <alignment vertical="center" wrapText="1"/>
    </xf>
    <xf numFmtId="0" fontId="2" fillId="3" borderId="0" xfId="1" applyFont="1" applyFill="1"/>
    <xf numFmtId="166" fontId="10" fillId="0" borderId="1" xfId="2" applyNumberFormat="1" applyFont="1" applyFill="1" applyBorder="1" applyAlignment="1">
      <alignment horizontal="right" vertical="center"/>
    </xf>
    <xf numFmtId="166" fontId="10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0" xfId="0" applyFill="1" applyBorder="1"/>
    <xf numFmtId="0" fontId="5" fillId="2" borderId="0" xfId="0" applyFont="1" applyFill="1" applyAlignment="1">
      <alignment horizontal="justify"/>
    </xf>
    <xf numFmtId="0" fontId="6" fillId="2" borderId="0" xfId="0" applyFont="1" applyFill="1"/>
    <xf numFmtId="0" fontId="10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6" fontId="3" fillId="2" borderId="0" xfId="1" applyNumberFormat="1" applyFont="1" applyFill="1"/>
    <xf numFmtId="0" fontId="3" fillId="2" borderId="0" xfId="1" applyFont="1" applyFill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16" fillId="2" borderId="0" xfId="0" applyNumberFormat="1" applyFont="1" applyFill="1"/>
    <xf numFmtId="0" fontId="16" fillId="2" borderId="0" xfId="0" applyFont="1" applyFill="1"/>
    <xf numFmtId="0" fontId="32" fillId="4" borderId="0" xfId="0" applyFont="1" applyFill="1"/>
    <xf numFmtId="0" fontId="33" fillId="4" borderId="0" xfId="1" applyFont="1" applyFill="1"/>
    <xf numFmtId="166" fontId="33" fillId="4" borderId="0" xfId="1" applyNumberFormat="1" applyFont="1" applyFill="1"/>
    <xf numFmtId="0" fontId="34" fillId="4" borderId="0" xfId="0" applyFont="1" applyFill="1"/>
    <xf numFmtId="166" fontId="10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10" fillId="0" borderId="1" xfId="2" applyNumberFormat="1" applyFont="1" applyFill="1" applyBorder="1" applyAlignment="1">
      <alignment horizontal="center" vertical="center" wrapText="1"/>
    </xf>
    <xf numFmtId="0" fontId="2" fillId="0" borderId="0" xfId="1" applyFont="1" applyFill="1"/>
    <xf numFmtId="0" fontId="38" fillId="0" borderId="0" xfId="0" applyFont="1" applyFill="1"/>
    <xf numFmtId="4" fontId="5" fillId="2" borderId="0" xfId="0" applyNumberFormat="1" applyFont="1" applyFill="1"/>
    <xf numFmtId="166" fontId="7" fillId="0" borderId="1" xfId="0" applyNumberFormat="1" applyFont="1" applyFill="1" applyBorder="1" applyAlignment="1">
      <alignment horizontal="center" textRotation="90" wrapText="1"/>
    </xf>
    <xf numFmtId="166" fontId="9" fillId="0" borderId="1" xfId="0" applyNumberFormat="1" applyFont="1" applyFill="1" applyBorder="1" applyAlignment="1">
      <alignment horizontal="center" textRotation="90" wrapText="1"/>
    </xf>
    <xf numFmtId="166" fontId="14" fillId="0" borderId="1" xfId="1" applyNumberFormat="1" applyFont="1" applyFill="1" applyBorder="1" applyAlignment="1">
      <alignment horizontal="right"/>
    </xf>
    <xf numFmtId="166" fontId="14" fillId="0" borderId="1" xfId="2" applyNumberFormat="1" applyFont="1" applyFill="1" applyBorder="1" applyAlignment="1">
      <alignment horizontal="right" vertical="center"/>
    </xf>
    <xf numFmtId="0" fontId="28" fillId="0" borderId="0" xfId="0" applyFont="1" applyFill="1" applyAlignment="1"/>
    <xf numFmtId="0" fontId="38" fillId="0" borderId="0" xfId="0" applyFont="1" applyFill="1" applyAlignment="1">
      <alignment horizontal="left"/>
    </xf>
    <xf numFmtId="0" fontId="4" fillId="0" borderId="1" xfId="10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/>
    <xf numFmtId="166" fontId="2" fillId="0" borderId="0" xfId="1" applyNumberFormat="1" applyFont="1" applyFill="1"/>
    <xf numFmtId="166" fontId="33" fillId="0" borderId="0" xfId="1" applyNumberFormat="1" applyFont="1" applyFill="1"/>
    <xf numFmtId="0" fontId="38" fillId="0" borderId="0" xfId="0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166" fontId="2" fillId="0" borderId="1" xfId="2" applyNumberFormat="1" applyFont="1" applyFill="1" applyBorder="1" applyAlignment="1">
      <alignment horizontal="right" vertical="center"/>
    </xf>
    <xf numFmtId="166" fontId="2" fillId="0" borderId="1" xfId="2" applyNumberFormat="1" applyFont="1" applyFill="1" applyBorder="1" applyAlignment="1">
      <alignment horizontal="center"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6" fontId="5" fillId="0" borderId="1" xfId="3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 vertical="center" wrapText="1"/>
    </xf>
    <xf numFmtId="0" fontId="27" fillId="0" borderId="1" xfId="10" applyFont="1" applyFill="1" applyBorder="1" applyAlignment="1">
      <alignment horizontal="left" wrapText="1"/>
    </xf>
    <xf numFmtId="0" fontId="2" fillId="0" borderId="1" xfId="3" applyFont="1" applyFill="1" applyBorder="1" applyAlignment="1">
      <alignment vertical="center" wrapText="1"/>
    </xf>
    <xf numFmtId="0" fontId="5" fillId="0" borderId="1" xfId="3" applyFont="1" applyFill="1" applyBorder="1" applyAlignment="1">
      <alignment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0" fontId="17" fillId="0" borderId="1" xfId="10" applyFont="1" applyFill="1" applyBorder="1" applyAlignment="1">
      <alignment horizontal="left" vertical="top" wrapText="1"/>
    </xf>
    <xf numFmtId="166" fontId="16" fillId="0" borderId="1" xfId="2" applyNumberFormat="1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right"/>
    </xf>
    <xf numFmtId="0" fontId="17" fillId="0" borderId="0" xfId="0" applyFont="1" applyFill="1" applyAlignment="1"/>
    <xf numFmtId="0" fontId="29" fillId="0" borderId="0" xfId="0" applyFont="1" applyFill="1"/>
    <xf numFmtId="0" fontId="28" fillId="0" borderId="0" xfId="0" applyFont="1" applyFill="1" applyBorder="1" applyAlignment="1"/>
    <xf numFmtId="0" fontId="38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3" fillId="0" borderId="0" xfId="10" applyFont="1" applyFill="1"/>
    <xf numFmtId="166" fontId="5" fillId="0" borderId="0" xfId="0" applyNumberFormat="1" applyFont="1" applyFill="1"/>
    <xf numFmtId="0" fontId="8" fillId="0" borderId="1" xfId="1" applyFont="1" applyFill="1" applyBorder="1" applyAlignment="1">
      <alignment horizontal="left" wrapText="1"/>
    </xf>
    <xf numFmtId="0" fontId="8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/>
    </xf>
    <xf numFmtId="0" fontId="10" fillId="0" borderId="1" xfId="2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top" wrapText="1"/>
    </xf>
    <xf numFmtId="0" fontId="4" fillId="0" borderId="1" xfId="10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/>
    </xf>
    <xf numFmtId="166" fontId="17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Border="1"/>
    <xf numFmtId="0" fontId="3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40" fillId="0" borderId="0" xfId="0" applyFont="1" applyFill="1" applyAlignment="1">
      <alignment horizontal="left"/>
    </xf>
    <xf numFmtId="0" fontId="38" fillId="0" borderId="0" xfId="0" applyFont="1" applyFill="1" applyBorder="1" applyAlignment="1">
      <alignment horizontal="left"/>
    </xf>
    <xf numFmtId="49" fontId="5" fillId="0" borderId="0" xfId="0" applyNumberFormat="1" applyFont="1" applyFill="1"/>
    <xf numFmtId="166" fontId="16" fillId="2" borderId="1" xfId="0" applyNumberFormat="1" applyFont="1" applyFill="1" applyBorder="1" applyAlignment="1">
      <alignment horizontal="center" vertical="center" wrapText="1"/>
    </xf>
    <xf numFmtId="0" fontId="17" fillId="0" borderId="1" xfId="10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66" fontId="35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6" fontId="14" fillId="0" borderId="1" xfId="2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wrapText="1"/>
    </xf>
    <xf numFmtId="166" fontId="14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/>
    <xf numFmtId="0" fontId="42" fillId="2" borderId="0" xfId="20" applyFont="1" applyFill="1" applyAlignment="1">
      <alignment horizontal="right"/>
    </xf>
    <xf numFmtId="49" fontId="16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166" fontId="32" fillId="4" borderId="0" xfId="0" applyNumberFormat="1" applyFont="1" applyFill="1"/>
    <xf numFmtId="1" fontId="2" fillId="0" borderId="1" xfId="1" applyNumberFormat="1" applyFont="1" applyFill="1" applyBorder="1" applyAlignment="1">
      <alignment horizontal="center" vertical="center"/>
    </xf>
    <xf numFmtId="10" fontId="4" fillId="0" borderId="1" xfId="10" applyNumberFormat="1" applyFont="1" applyFill="1" applyBorder="1" applyAlignment="1">
      <alignment horizontal="center" vertical="center" wrapText="1"/>
    </xf>
    <xf numFmtId="0" fontId="2" fillId="0" borderId="1" xfId="10" applyFont="1" applyFill="1" applyBorder="1" applyAlignment="1">
      <alignment horizontal="center" vertical="center" wrapText="1"/>
    </xf>
    <xf numFmtId="170" fontId="4" fillId="0" borderId="1" xfId="10" applyNumberFormat="1" applyFont="1" applyFill="1" applyBorder="1" applyAlignment="1">
      <alignment horizontal="center" vertical="center" wrapText="1"/>
    </xf>
    <xf numFmtId="9" fontId="4" fillId="0" borderId="1" xfId="10" applyNumberFormat="1" applyFont="1" applyFill="1" applyBorder="1" applyAlignment="1">
      <alignment horizontal="center" vertical="center" wrapText="1"/>
    </xf>
    <xf numFmtId="0" fontId="43" fillId="0" borderId="0" xfId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6" fontId="14" fillId="0" borderId="1" xfId="1" applyNumberFormat="1" applyFont="1" applyFill="1" applyBorder="1" applyAlignment="1">
      <alignment horizontal="center" vertical="center"/>
    </xf>
    <xf numFmtId="166" fontId="10" fillId="2" borderId="1" xfId="2" applyNumberFormat="1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38" fillId="0" borderId="0" xfId="0" applyFont="1" applyFill="1" applyAlignment="1"/>
    <xf numFmtId="49" fontId="10" fillId="0" borderId="1" xfId="1" applyNumberFormat="1" applyFont="1" applyFill="1" applyBorder="1"/>
    <xf numFmtId="0" fontId="10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left"/>
    </xf>
    <xf numFmtId="49" fontId="2" fillId="0" borderId="1" xfId="1" applyNumberFormat="1" applyFont="1" applyFill="1" applyBorder="1" applyAlignment="1">
      <alignment vertical="top"/>
    </xf>
    <xf numFmtId="49" fontId="2" fillId="0" borderId="1" xfId="1" applyNumberFormat="1" applyFont="1" applyFill="1" applyBorder="1" applyAlignment="1">
      <alignment horizontal="left" vertical="top"/>
    </xf>
    <xf numFmtId="0" fontId="39" fillId="0" borderId="0" xfId="0" applyFont="1" applyFill="1"/>
    <xf numFmtId="0" fontId="5" fillId="2" borderId="1" xfId="0" applyFont="1" applyFill="1" applyBorder="1" applyAlignment="1">
      <alignment wrapText="1"/>
    </xf>
    <xf numFmtId="166" fontId="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44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37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45" fillId="0" borderId="4" xfId="0" applyNumberFormat="1" applyFont="1" applyFill="1" applyBorder="1" applyAlignment="1">
      <alignment horizontal="left" wrapText="1"/>
    </xf>
    <xf numFmtId="0" fontId="38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 wrapText="1"/>
    </xf>
    <xf numFmtId="0" fontId="46" fillId="0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38" fillId="0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1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wrapText="1"/>
    </xf>
    <xf numFmtId="0" fontId="5" fillId="2" borderId="0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top" wrapText="1"/>
    </xf>
    <xf numFmtId="0" fontId="17" fillId="0" borderId="1" xfId="1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27" fillId="0" borderId="1" xfId="10" applyFont="1" applyFill="1" applyBorder="1" applyAlignment="1">
      <alignment horizontal="left" vertical="top" wrapText="1"/>
    </xf>
    <xf numFmtId="0" fontId="28" fillId="2" borderId="0" xfId="0" applyFont="1" applyFill="1" applyAlignment="1">
      <alignment horizontal="left" wrapText="1"/>
    </xf>
  </cellXfs>
  <cellStyles count="21">
    <cellStyle name="Comma [0]" xfId="4"/>
    <cellStyle name="Comma [0] 2" xfId="18"/>
    <cellStyle name="Currency [0]" xfId="5"/>
    <cellStyle name="Normal_Sheet1" xfId="6"/>
    <cellStyle name="Гиперссылка" xfId="20" builtinId="8"/>
    <cellStyle name="Обычный" xfId="0" builtinId="0"/>
    <cellStyle name="Обычный 2" xfId="7"/>
    <cellStyle name="Обычный 3" xfId="8"/>
    <cellStyle name="Обычный 4" xfId="9"/>
    <cellStyle name="Обычный 5" xfId="10"/>
    <cellStyle name="Обычный 5 4" xfId="1"/>
    <cellStyle name="Обычный 6" xfId="11"/>
    <cellStyle name="Обычный 6 2" xfId="3"/>
    <cellStyle name="Обычный 6 2 2" xfId="17"/>
    <cellStyle name="Обычный_Книга1" xfId="2"/>
    <cellStyle name="Процентный 2" xfId="12"/>
    <cellStyle name="Стиль 1" xfId="13"/>
    <cellStyle name="Тысячи [0]_молодежная практика" xfId="14"/>
    <cellStyle name="Тысячи_Код меню" xfId="15"/>
    <cellStyle name="Финансовый 2" xfId="16"/>
    <cellStyle name="Финансовый 2 2" xfId="19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1;&#1086;&#1085;&#1076;&#1080;&#1085;&#1072;&#1090;&#1080;\&#1086;&#1073;&#1097;&#1072;&#1103;\&#1052;&#1086;&#1080;%20&#1076;&#1086;&#1082;&#1091;&#1084;&#1077;&#1085;&#1090;&#1099;\&#1044;&#1086;&#1082;&#1091;&#1084;&#1077;&#1085;&#1090;&#1099;%20Excel\&#1041;&#1102;&#1076;&#1078;&#1077;&#1090;&#1099;\2005\&#1059;&#1095;.&#1087;&#1088;&#1086;&#1094;&#1077;&#1089;&#1089;\2005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_нач"/>
      <sheetName val="Г_неп"/>
      <sheetName val="Г_сред"/>
      <sheetName val="Г_шк"/>
      <sheetName val="Г_инт_все"/>
      <sheetName val="Г_мун_инт"/>
      <sheetName val="Г_веч"/>
      <sheetName val="Г_всего"/>
      <sheetName val="Г_с_мун_инт"/>
      <sheetName val="Г_без_инт"/>
      <sheetName val="С_нач"/>
      <sheetName val="С_неп"/>
      <sheetName val="С_сред"/>
      <sheetName val="С_шк"/>
      <sheetName val="С_инт_все"/>
      <sheetName val="С_мун_инт"/>
      <sheetName val="С_веч"/>
      <sheetName val="С_всего"/>
      <sheetName val="С_с_мун_инт"/>
      <sheetName val="С_без_инт"/>
      <sheetName val="С_малокомпл"/>
      <sheetName val="МО_всего"/>
      <sheetName val="МО_с_мун_инт"/>
      <sheetName val="МО_без_инт"/>
      <sheetName val="Сет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>
            <v>1</v>
          </cell>
          <cell r="B1">
            <v>600</v>
          </cell>
        </row>
        <row r="2">
          <cell r="A2">
            <v>2</v>
          </cell>
          <cell r="B2">
            <v>670</v>
          </cell>
        </row>
        <row r="3">
          <cell r="A3">
            <v>3</v>
          </cell>
          <cell r="B3">
            <v>740</v>
          </cell>
        </row>
        <row r="4">
          <cell r="A4">
            <v>4</v>
          </cell>
          <cell r="B4">
            <v>820</v>
          </cell>
        </row>
        <row r="5">
          <cell r="A5">
            <v>5</v>
          </cell>
          <cell r="B5">
            <v>910</v>
          </cell>
        </row>
        <row r="6">
          <cell r="A6">
            <v>6</v>
          </cell>
          <cell r="B6">
            <v>1010</v>
          </cell>
        </row>
        <row r="7">
          <cell r="A7">
            <v>7</v>
          </cell>
          <cell r="B7">
            <v>1110</v>
          </cell>
        </row>
        <row r="8">
          <cell r="A8">
            <v>8</v>
          </cell>
          <cell r="B8">
            <v>1220</v>
          </cell>
        </row>
        <row r="9">
          <cell r="A9">
            <v>9</v>
          </cell>
          <cell r="B9">
            <v>1340</v>
          </cell>
        </row>
        <row r="10">
          <cell r="A10">
            <v>10</v>
          </cell>
          <cell r="B10">
            <v>1470</v>
          </cell>
        </row>
        <row r="11">
          <cell r="A11">
            <v>11</v>
          </cell>
          <cell r="B11">
            <v>1610</v>
          </cell>
        </row>
        <row r="12">
          <cell r="A12">
            <v>12</v>
          </cell>
          <cell r="B12">
            <v>1740</v>
          </cell>
        </row>
        <row r="13">
          <cell r="A13">
            <v>13</v>
          </cell>
          <cell r="B13">
            <v>1880</v>
          </cell>
        </row>
        <row r="14">
          <cell r="A14">
            <v>14</v>
          </cell>
          <cell r="B14">
            <v>2020</v>
          </cell>
        </row>
        <row r="15">
          <cell r="A15">
            <v>15</v>
          </cell>
          <cell r="B15">
            <v>2180</v>
          </cell>
        </row>
        <row r="16">
          <cell r="A16">
            <v>16</v>
          </cell>
          <cell r="B16">
            <v>2340</v>
          </cell>
        </row>
        <row r="17">
          <cell r="A17">
            <v>17</v>
          </cell>
          <cell r="B17">
            <v>2520</v>
          </cell>
        </row>
        <row r="18">
          <cell r="A18">
            <v>18</v>
          </cell>
          <cell r="B18">
            <v>2700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CW97"/>
  <sheetViews>
    <sheetView view="pageBreakPreview" zoomScale="70" zoomScaleNormal="70" zoomScaleSheetLayoutView="70" zoomScalePageLayoutView="70" workbookViewId="0">
      <pane xSplit="13" ySplit="10" topLeftCell="N26" activePane="bottomRight" state="frozen"/>
      <selection pane="topRight" activeCell="N1" sqref="N1"/>
      <selection pane="bottomLeft" activeCell="A11" sqref="A11"/>
      <selection pane="bottomRight" activeCell="U27" sqref="U27"/>
    </sheetView>
  </sheetViews>
  <sheetFormatPr defaultColWidth="9.140625" defaultRowHeight="23.25" x14ac:dyDescent="0.35"/>
  <cols>
    <col min="1" max="1" width="7.85546875" style="26" customWidth="1"/>
    <col min="2" max="2" width="24.28515625" style="26" customWidth="1"/>
    <col min="3" max="3" width="18.7109375" style="26" customWidth="1"/>
    <col min="4" max="4" width="11" style="26" customWidth="1"/>
    <col min="5" max="5" width="11.28515625" style="26" customWidth="1"/>
    <col min="6" max="7" width="4.28515625" style="26" customWidth="1"/>
    <col min="8" max="8" width="10.140625" style="26" customWidth="1"/>
    <col min="9" max="9" width="11.42578125" style="26" customWidth="1"/>
    <col min="10" max="10" width="6.7109375" style="26" customWidth="1"/>
    <col min="11" max="11" width="10.140625" style="26" customWidth="1"/>
    <col min="12" max="12" width="6" style="26" customWidth="1"/>
    <col min="13" max="13" width="15.7109375" style="26" customWidth="1"/>
    <col min="14" max="14" width="12.28515625" style="26" customWidth="1"/>
    <col min="15" max="15" width="4.28515625" style="26" customWidth="1"/>
    <col min="16" max="16" width="9.28515625" style="26" customWidth="1"/>
    <col min="17" max="17" width="4.28515625" style="26" customWidth="1"/>
    <col min="18" max="18" width="5.28515625" style="26" customWidth="1"/>
    <col min="19" max="19" width="10.140625" style="26" customWidth="1"/>
    <col min="20" max="20" width="13" style="26" customWidth="1"/>
    <col min="21" max="21" width="17" style="26" customWidth="1"/>
    <col min="22" max="22" width="16" style="26" customWidth="1"/>
    <col min="23" max="23" width="8.28515625" style="26" customWidth="1"/>
    <col min="24" max="24" width="11.140625" style="26" customWidth="1"/>
    <col min="25" max="25" width="15.5703125" style="26" customWidth="1"/>
    <col min="26" max="26" width="12.28515625" style="26" customWidth="1"/>
    <col min="27" max="27" width="27.85546875" style="26" customWidth="1"/>
    <col min="28" max="28" width="14.140625" style="27" customWidth="1"/>
    <col min="29" max="29" width="13.5703125" style="27" customWidth="1"/>
    <col min="30" max="30" width="20.5703125" style="68" customWidth="1"/>
    <col min="31" max="32" width="9.28515625" style="27" customWidth="1"/>
    <col min="33" max="33" width="9.7109375" style="27" customWidth="1"/>
    <col min="34" max="34" width="9.28515625" style="27" bestFit="1" customWidth="1"/>
    <col min="35" max="16384" width="9.140625" style="27"/>
  </cols>
  <sheetData>
    <row r="1" spans="1:34" x14ac:dyDescent="0.35">
      <c r="A1" s="212" t="s">
        <v>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</row>
    <row r="2" spans="1:34" ht="19.5" customHeight="1" x14ac:dyDescent="0.35">
      <c r="A2" s="212" t="s">
        <v>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</row>
    <row r="3" spans="1:34" ht="22.5" customHeight="1" x14ac:dyDescent="0.35">
      <c r="A3" s="212" t="s">
        <v>136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</row>
    <row r="4" spans="1:34" ht="25.5" customHeight="1" x14ac:dyDescent="0.35">
      <c r="A4" s="213" t="s">
        <v>4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</row>
    <row r="5" spans="1:34" ht="22.5" customHeight="1" x14ac:dyDescent="0.35">
      <c r="A5" s="212" t="s">
        <v>452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</row>
    <row r="6" spans="1:34" ht="21.75" hidden="1" customHeight="1" x14ac:dyDescent="0.35">
      <c r="A6" s="207" t="s">
        <v>261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</row>
    <row r="7" spans="1:34" ht="0.75" hidden="1" customHeight="1" x14ac:dyDescent="0.35">
      <c r="B7" s="18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186"/>
    </row>
    <row r="8" spans="1:34" ht="27.75" customHeight="1" x14ac:dyDescent="0.35">
      <c r="A8" s="211" t="s">
        <v>424</v>
      </c>
      <c r="B8" s="210" t="s">
        <v>23</v>
      </c>
      <c r="C8" s="210" t="s">
        <v>7</v>
      </c>
      <c r="D8" s="209" t="s">
        <v>19</v>
      </c>
      <c r="E8" s="209"/>
      <c r="F8" s="209"/>
      <c r="G8" s="209"/>
      <c r="H8" s="209"/>
      <c r="I8" s="209" t="s">
        <v>24</v>
      </c>
      <c r="J8" s="209"/>
      <c r="K8" s="209"/>
      <c r="L8" s="209"/>
      <c r="M8" s="209"/>
      <c r="N8" s="209" t="s">
        <v>18</v>
      </c>
      <c r="O8" s="209"/>
      <c r="P8" s="209"/>
      <c r="Q8" s="209"/>
      <c r="R8" s="209"/>
      <c r="S8" s="209"/>
      <c r="T8" s="209" t="s">
        <v>425</v>
      </c>
      <c r="U8" s="208" t="s">
        <v>442</v>
      </c>
      <c r="V8" s="209" t="s">
        <v>11</v>
      </c>
      <c r="W8" s="209"/>
      <c r="X8" s="209"/>
      <c r="Y8" s="209"/>
      <c r="Z8" s="208" t="s">
        <v>426</v>
      </c>
      <c r="AA8" s="208" t="s">
        <v>427</v>
      </c>
    </row>
    <row r="9" spans="1:34" ht="42" customHeight="1" x14ac:dyDescent="0.35">
      <c r="A9" s="211"/>
      <c r="B9" s="210"/>
      <c r="C9" s="210"/>
      <c r="D9" s="209"/>
      <c r="E9" s="209"/>
      <c r="F9" s="209"/>
      <c r="G9" s="209"/>
      <c r="H9" s="209"/>
      <c r="I9" s="209" t="s">
        <v>27</v>
      </c>
      <c r="J9" s="209"/>
      <c r="K9" s="209"/>
      <c r="L9" s="209"/>
      <c r="M9" s="198" t="s">
        <v>20</v>
      </c>
      <c r="N9" s="209"/>
      <c r="O9" s="209"/>
      <c r="P9" s="209"/>
      <c r="Q9" s="209"/>
      <c r="R9" s="209"/>
      <c r="S9" s="209"/>
      <c r="T9" s="209"/>
      <c r="U9" s="208"/>
      <c r="V9" s="209"/>
      <c r="W9" s="209"/>
      <c r="X9" s="209"/>
      <c r="Y9" s="209"/>
      <c r="Z9" s="208"/>
      <c r="AA9" s="208"/>
      <c r="AD9" s="173">
        <f>7202375.5-I13-K13</f>
        <v>1.0477378964424133E-9</v>
      </c>
    </row>
    <row r="10" spans="1:34" ht="99.75" customHeight="1" x14ac:dyDescent="0.35">
      <c r="A10" s="211"/>
      <c r="B10" s="210"/>
      <c r="C10" s="210"/>
      <c r="D10" s="80" t="s">
        <v>21</v>
      </c>
      <c r="E10" s="80" t="s">
        <v>0</v>
      </c>
      <c r="F10" s="81" t="s">
        <v>0</v>
      </c>
      <c r="G10" s="80" t="s">
        <v>1</v>
      </c>
      <c r="H10" s="80" t="s">
        <v>22</v>
      </c>
      <c r="I10" s="80" t="s">
        <v>21</v>
      </c>
      <c r="J10" s="81" t="s">
        <v>21</v>
      </c>
      <c r="K10" s="80" t="s">
        <v>0</v>
      </c>
      <c r="L10" s="81" t="s">
        <v>0</v>
      </c>
      <c r="M10" s="80" t="s">
        <v>1</v>
      </c>
      <c r="N10" s="80" t="s">
        <v>21</v>
      </c>
      <c r="O10" s="81" t="s">
        <v>21</v>
      </c>
      <c r="P10" s="80" t="s">
        <v>0</v>
      </c>
      <c r="Q10" s="81" t="s">
        <v>0</v>
      </c>
      <c r="R10" s="80" t="s">
        <v>1</v>
      </c>
      <c r="S10" s="80" t="s">
        <v>22</v>
      </c>
      <c r="T10" s="209"/>
      <c r="U10" s="208"/>
      <c r="V10" s="80" t="s">
        <v>14</v>
      </c>
      <c r="W10" s="80" t="s">
        <v>15</v>
      </c>
      <c r="X10" s="80" t="s">
        <v>16</v>
      </c>
      <c r="Y10" s="80" t="s">
        <v>17</v>
      </c>
      <c r="Z10" s="208"/>
      <c r="AA10" s="208"/>
      <c r="AB10" s="28"/>
    </row>
    <row r="11" spans="1:34" x14ac:dyDescent="0.35">
      <c r="A11" s="51">
        <v>1</v>
      </c>
      <c r="B11" s="51">
        <v>2</v>
      </c>
      <c r="C11" s="51">
        <v>3</v>
      </c>
      <c r="D11" s="51">
        <v>4</v>
      </c>
      <c r="E11" s="51">
        <v>5</v>
      </c>
      <c r="F11" s="51">
        <v>6</v>
      </c>
      <c r="G11" s="51">
        <v>7</v>
      </c>
      <c r="H11" s="51">
        <v>8</v>
      </c>
      <c r="I11" s="51">
        <v>9</v>
      </c>
      <c r="J11" s="51">
        <v>10</v>
      </c>
      <c r="K11" s="51">
        <v>11</v>
      </c>
      <c r="L11" s="51">
        <v>12</v>
      </c>
      <c r="M11" s="51">
        <v>13</v>
      </c>
      <c r="N11" s="51">
        <v>14</v>
      </c>
      <c r="O11" s="51">
        <v>15</v>
      </c>
      <c r="P11" s="51">
        <v>16</v>
      </c>
      <c r="Q11" s="51">
        <v>17</v>
      </c>
      <c r="R11" s="51">
        <v>18</v>
      </c>
      <c r="S11" s="51">
        <v>19</v>
      </c>
      <c r="T11" s="51">
        <v>20</v>
      </c>
      <c r="U11" s="51">
        <v>21</v>
      </c>
      <c r="V11" s="51">
        <v>22</v>
      </c>
      <c r="W11" s="51">
        <v>23</v>
      </c>
      <c r="X11" s="51">
        <v>24</v>
      </c>
      <c r="Y11" s="51">
        <v>25</v>
      </c>
      <c r="Z11" s="51">
        <v>31</v>
      </c>
      <c r="AA11" s="51">
        <v>32</v>
      </c>
    </row>
    <row r="12" spans="1:34" s="29" customFormat="1" ht="49.5" customHeight="1" x14ac:dyDescent="0.35">
      <c r="A12" s="134"/>
      <c r="B12" s="133" t="s">
        <v>28</v>
      </c>
      <c r="C12" s="134"/>
      <c r="D12" s="82">
        <f t="shared" ref="D12:T12" si="0">D77+D13+D47</f>
        <v>6855153.2999999998</v>
      </c>
      <c r="E12" s="82">
        <f t="shared" si="0"/>
        <v>871829.8</v>
      </c>
      <c r="F12" s="82">
        <f t="shared" si="0"/>
        <v>0</v>
      </c>
      <c r="G12" s="82">
        <f t="shared" si="0"/>
        <v>0</v>
      </c>
      <c r="H12" s="82">
        <f t="shared" si="0"/>
        <v>301541.90000000002</v>
      </c>
      <c r="I12" s="82">
        <f t="shared" si="0"/>
        <v>6333500.6999999993</v>
      </c>
      <c r="J12" s="82">
        <f t="shared" si="0"/>
        <v>0</v>
      </c>
      <c r="K12" s="82">
        <f t="shared" si="0"/>
        <v>871829.8</v>
      </c>
      <c r="L12" s="82">
        <f t="shared" si="0"/>
        <v>0</v>
      </c>
      <c r="M12" s="82">
        <f t="shared" si="0"/>
        <v>0</v>
      </c>
      <c r="N12" s="82">
        <f t="shared" si="0"/>
        <v>6247052.7999999989</v>
      </c>
      <c r="O12" s="82">
        <f t="shared" si="0"/>
        <v>0</v>
      </c>
      <c r="P12" s="82">
        <f t="shared" si="0"/>
        <v>855415.5</v>
      </c>
      <c r="Q12" s="82">
        <f t="shared" si="0"/>
        <v>0</v>
      </c>
      <c r="R12" s="82">
        <f t="shared" si="0"/>
        <v>0</v>
      </c>
      <c r="S12" s="82">
        <f t="shared" si="0"/>
        <v>360786</v>
      </c>
      <c r="T12" s="82">
        <f t="shared" si="0"/>
        <v>931715.6</v>
      </c>
      <c r="U12" s="49"/>
      <c r="V12" s="59" t="s">
        <v>10</v>
      </c>
      <c r="W12" s="59" t="s">
        <v>10</v>
      </c>
      <c r="X12" s="59" t="s">
        <v>10</v>
      </c>
      <c r="Y12" s="59" t="s">
        <v>10</v>
      </c>
      <c r="Z12" s="59" t="s">
        <v>10</v>
      </c>
      <c r="AA12" s="59" t="s">
        <v>10</v>
      </c>
      <c r="AD12" s="69"/>
    </row>
    <row r="13" spans="1:34" s="29" customFormat="1" ht="61.5" customHeight="1" x14ac:dyDescent="0.35">
      <c r="A13" s="93"/>
      <c r="B13" s="135" t="s">
        <v>34</v>
      </c>
      <c r="C13" s="136"/>
      <c r="D13" s="83">
        <f t="shared" ref="D13:N13" si="1">SUM(D14:D46)</f>
        <v>6854875.8999999994</v>
      </c>
      <c r="E13" s="83">
        <f t="shared" si="1"/>
        <v>869152.20000000007</v>
      </c>
      <c r="F13" s="83">
        <f t="shared" si="1"/>
        <v>0</v>
      </c>
      <c r="G13" s="83">
        <f t="shared" si="1"/>
        <v>0</v>
      </c>
      <c r="H13" s="83">
        <f t="shared" si="1"/>
        <v>0</v>
      </c>
      <c r="I13" s="83">
        <f t="shared" si="1"/>
        <v>6333223.2999999989</v>
      </c>
      <c r="J13" s="83">
        <f t="shared" si="1"/>
        <v>0</v>
      </c>
      <c r="K13" s="83">
        <f t="shared" si="1"/>
        <v>869152.20000000007</v>
      </c>
      <c r="L13" s="83">
        <f t="shared" si="1"/>
        <v>0</v>
      </c>
      <c r="M13" s="83">
        <f t="shared" si="1"/>
        <v>0</v>
      </c>
      <c r="N13" s="83">
        <f t="shared" si="1"/>
        <v>6246930.0999999987</v>
      </c>
      <c r="O13" s="83">
        <f>O14+O15+O16+O17+O18+O19+O20+O22+O23+O24+O26+O27+O28+O29+O30+O31+O32+O33+O34+O35+O36+O37+O38+O39+O40+O41+O42+O43+O44+O45+O46</f>
        <v>0</v>
      </c>
      <c r="P13" s="83">
        <f>SUM(P14:P46)</f>
        <v>853355</v>
      </c>
      <c r="Q13" s="83">
        <f t="shared" ref="Q13:T13" si="2">SUM(Q14:Q46)</f>
        <v>0</v>
      </c>
      <c r="R13" s="83">
        <f t="shared" si="2"/>
        <v>0</v>
      </c>
      <c r="S13" s="83">
        <f t="shared" si="2"/>
        <v>0</v>
      </c>
      <c r="T13" s="83">
        <f t="shared" si="2"/>
        <v>930458.29999999993</v>
      </c>
      <c r="U13" s="49"/>
      <c r="V13" s="59" t="s">
        <v>10</v>
      </c>
      <c r="W13" s="59" t="s">
        <v>10</v>
      </c>
      <c r="X13" s="59" t="s">
        <v>10</v>
      </c>
      <c r="Y13" s="59" t="s">
        <v>10</v>
      </c>
      <c r="Z13" s="59" t="s">
        <v>10</v>
      </c>
      <c r="AA13" s="59" t="s">
        <v>10</v>
      </c>
      <c r="AC13" s="30">
        <f>D12+E12-I12-K12</f>
        <v>521652.60000000033</v>
      </c>
      <c r="AD13" s="69"/>
    </row>
    <row r="14" spans="1:34" s="29" customFormat="1" ht="219.75" customHeight="1" x14ac:dyDescent="0.35">
      <c r="A14" s="93" t="s">
        <v>30</v>
      </c>
      <c r="B14" s="55" t="s">
        <v>35</v>
      </c>
      <c r="C14" s="56" t="s">
        <v>139</v>
      </c>
      <c r="D14" s="49">
        <v>0</v>
      </c>
      <c r="E14" s="49">
        <v>2845.3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2845.3</v>
      </c>
      <c r="L14" s="49">
        <v>0</v>
      </c>
      <c r="M14" s="49">
        <v>0</v>
      </c>
      <c r="N14" s="49">
        <v>0</v>
      </c>
      <c r="O14" s="49">
        <v>0</v>
      </c>
      <c r="P14" s="49">
        <v>2806.1</v>
      </c>
      <c r="Q14" s="49">
        <v>0</v>
      </c>
      <c r="R14" s="49">
        <v>0</v>
      </c>
      <c r="S14" s="49">
        <v>0</v>
      </c>
      <c r="T14" s="49">
        <v>2806.1</v>
      </c>
      <c r="U14" s="57" t="s">
        <v>562</v>
      </c>
      <c r="V14" s="57" t="s">
        <v>141</v>
      </c>
      <c r="W14" s="57" t="s">
        <v>142</v>
      </c>
      <c r="X14" s="57">
        <v>178</v>
      </c>
      <c r="Y14" s="59">
        <v>172.1</v>
      </c>
      <c r="Z14" s="58" t="s">
        <v>204</v>
      </c>
      <c r="AA14" s="58" t="s">
        <v>563</v>
      </c>
      <c r="AC14" s="30"/>
      <c r="AD14" s="70">
        <f>I14+K14-N14-P14</f>
        <v>39.200000000000273</v>
      </c>
      <c r="AF14" s="30"/>
      <c r="AH14" s="30"/>
    </row>
    <row r="15" spans="1:34" s="29" customFormat="1" ht="125.25" customHeight="1" x14ac:dyDescent="0.35">
      <c r="A15" s="97" t="s">
        <v>31</v>
      </c>
      <c r="B15" s="55" t="s">
        <v>81</v>
      </c>
      <c r="C15" s="56" t="s">
        <v>139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50"/>
      <c r="V15" s="57" t="s">
        <v>144</v>
      </c>
      <c r="W15" s="57" t="s">
        <v>143</v>
      </c>
      <c r="X15" s="57">
        <v>250</v>
      </c>
      <c r="Y15" s="59">
        <v>249</v>
      </c>
      <c r="Z15" s="58" t="s">
        <v>204</v>
      </c>
      <c r="AA15" s="58" t="s">
        <v>547</v>
      </c>
      <c r="AC15" s="30">
        <f>6137317+250+1369</f>
        <v>6138936</v>
      </c>
      <c r="AD15" s="70">
        <f t="shared" ref="AD15:AD82" si="3">I15+K15-N15-P15</f>
        <v>0</v>
      </c>
      <c r="AF15" s="30"/>
      <c r="AH15" s="30"/>
    </row>
    <row r="16" spans="1:34" s="29" customFormat="1" ht="232.5" customHeight="1" x14ac:dyDescent="0.35">
      <c r="A16" s="97" t="s">
        <v>32</v>
      </c>
      <c r="B16" s="55" t="s">
        <v>82</v>
      </c>
      <c r="C16" s="56" t="s">
        <v>139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50"/>
      <c r="V16" s="57" t="s">
        <v>145</v>
      </c>
      <c r="W16" s="57" t="s">
        <v>142</v>
      </c>
      <c r="X16" s="57">
        <v>110</v>
      </c>
      <c r="Y16" s="59">
        <v>93.9</v>
      </c>
      <c r="Z16" s="58" t="s">
        <v>204</v>
      </c>
      <c r="AA16" s="58" t="s">
        <v>546</v>
      </c>
      <c r="AC16" s="30"/>
      <c r="AD16" s="70">
        <f t="shared" si="3"/>
        <v>0</v>
      </c>
      <c r="AF16" s="30"/>
      <c r="AH16" s="30"/>
    </row>
    <row r="17" spans="1:34" s="29" customFormat="1" ht="155.25" customHeight="1" x14ac:dyDescent="0.35">
      <c r="A17" s="97" t="s">
        <v>33</v>
      </c>
      <c r="B17" s="55" t="s">
        <v>83</v>
      </c>
      <c r="C17" s="56" t="s">
        <v>139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50"/>
      <c r="V17" s="57" t="s">
        <v>146</v>
      </c>
      <c r="W17" s="57" t="s">
        <v>147</v>
      </c>
      <c r="X17" s="57" t="s">
        <v>148</v>
      </c>
      <c r="Y17" s="59" t="s">
        <v>545</v>
      </c>
      <c r="Z17" s="58" t="s">
        <v>204</v>
      </c>
      <c r="AA17" s="58" t="s">
        <v>533</v>
      </c>
      <c r="AC17" s="30"/>
      <c r="AD17" s="70">
        <f t="shared" si="3"/>
        <v>0</v>
      </c>
      <c r="AF17" s="30"/>
      <c r="AH17" s="30"/>
    </row>
    <row r="18" spans="1:34" s="29" customFormat="1" ht="226.5" customHeight="1" x14ac:dyDescent="0.35">
      <c r="A18" s="93" t="s">
        <v>36</v>
      </c>
      <c r="B18" s="55" t="s">
        <v>37</v>
      </c>
      <c r="C18" s="56" t="s">
        <v>139</v>
      </c>
      <c r="D18" s="49">
        <v>0</v>
      </c>
      <c r="E18" s="49">
        <v>1383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1383</v>
      </c>
      <c r="L18" s="49">
        <v>0</v>
      </c>
      <c r="M18" s="49">
        <v>0</v>
      </c>
      <c r="N18" s="49">
        <v>0</v>
      </c>
      <c r="O18" s="49">
        <v>0</v>
      </c>
      <c r="P18" s="49">
        <v>870.5</v>
      </c>
      <c r="Q18" s="49">
        <v>0</v>
      </c>
      <c r="R18" s="49">
        <v>0</v>
      </c>
      <c r="S18" s="49">
        <v>0</v>
      </c>
      <c r="T18" s="49">
        <v>870.5</v>
      </c>
      <c r="U18" s="57" t="s">
        <v>550</v>
      </c>
      <c r="V18" s="57" t="s">
        <v>141</v>
      </c>
      <c r="W18" s="57" t="s">
        <v>104</v>
      </c>
      <c r="X18" s="76">
        <v>118</v>
      </c>
      <c r="Y18" s="182">
        <v>154</v>
      </c>
      <c r="Z18" s="58" t="s">
        <v>251</v>
      </c>
      <c r="AA18" s="58"/>
      <c r="AC18" s="30"/>
      <c r="AD18" s="70">
        <f t="shared" si="3"/>
        <v>512.5</v>
      </c>
      <c r="AF18" s="30"/>
      <c r="AH18" s="30"/>
    </row>
    <row r="19" spans="1:34" s="29" customFormat="1" ht="321.75" customHeight="1" x14ac:dyDescent="0.35">
      <c r="A19" s="93" t="s">
        <v>38</v>
      </c>
      <c r="B19" s="55" t="s">
        <v>39</v>
      </c>
      <c r="C19" s="56" t="s">
        <v>139</v>
      </c>
      <c r="D19" s="49">
        <v>0</v>
      </c>
      <c r="E19" s="49">
        <v>2892.8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2892.8</v>
      </c>
      <c r="L19" s="49">
        <v>0</v>
      </c>
      <c r="M19" s="49">
        <v>0</v>
      </c>
      <c r="N19" s="49">
        <v>0</v>
      </c>
      <c r="O19" s="49">
        <v>0</v>
      </c>
      <c r="P19" s="49">
        <v>2816.9</v>
      </c>
      <c r="Q19" s="49">
        <v>0</v>
      </c>
      <c r="R19" s="49">
        <v>0</v>
      </c>
      <c r="S19" s="49">
        <v>0</v>
      </c>
      <c r="T19" s="49">
        <v>2816.9</v>
      </c>
      <c r="U19" s="57" t="s">
        <v>564</v>
      </c>
      <c r="V19" s="57" t="s">
        <v>149</v>
      </c>
      <c r="W19" s="57" t="s">
        <v>142</v>
      </c>
      <c r="X19" s="57">
        <v>115</v>
      </c>
      <c r="Y19" s="59">
        <v>60</v>
      </c>
      <c r="Z19" s="58" t="s">
        <v>204</v>
      </c>
      <c r="AA19" s="58" t="s">
        <v>486</v>
      </c>
      <c r="AC19" s="30"/>
      <c r="AD19" s="70">
        <f t="shared" si="3"/>
        <v>75.900000000000091</v>
      </c>
      <c r="AF19" s="30"/>
      <c r="AH19" s="30"/>
    </row>
    <row r="20" spans="1:34" s="29" customFormat="1" ht="203.25" customHeight="1" x14ac:dyDescent="0.35">
      <c r="A20" s="93" t="s">
        <v>40</v>
      </c>
      <c r="B20" s="55" t="s">
        <v>41</v>
      </c>
      <c r="C20" s="56" t="s">
        <v>139</v>
      </c>
      <c r="D20" s="49">
        <v>0</v>
      </c>
      <c r="E20" s="49">
        <v>8159.6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8159.6</v>
      </c>
      <c r="L20" s="49">
        <v>0</v>
      </c>
      <c r="M20" s="49">
        <v>0</v>
      </c>
      <c r="N20" s="49">
        <v>0</v>
      </c>
      <c r="O20" s="49">
        <v>0</v>
      </c>
      <c r="P20" s="49">
        <v>7979.2</v>
      </c>
      <c r="Q20" s="49">
        <v>0</v>
      </c>
      <c r="R20" s="49">
        <v>0</v>
      </c>
      <c r="S20" s="49">
        <v>0</v>
      </c>
      <c r="T20" s="49">
        <v>7979.2</v>
      </c>
      <c r="U20" s="57" t="s">
        <v>569</v>
      </c>
      <c r="V20" s="57" t="s">
        <v>141</v>
      </c>
      <c r="W20" s="57" t="s">
        <v>104</v>
      </c>
      <c r="X20" s="76">
        <v>5300</v>
      </c>
      <c r="Y20" s="182">
        <v>4775</v>
      </c>
      <c r="Z20" s="58" t="s">
        <v>204</v>
      </c>
      <c r="AA20" s="58" t="s">
        <v>485</v>
      </c>
      <c r="AC20" s="30"/>
      <c r="AD20" s="70">
        <f t="shared" si="3"/>
        <v>180.40000000000055</v>
      </c>
      <c r="AF20" s="30"/>
      <c r="AH20" s="30"/>
    </row>
    <row r="21" spans="1:34" s="29" customFormat="1" ht="363" customHeight="1" x14ac:dyDescent="0.35">
      <c r="A21" s="93" t="s">
        <v>42</v>
      </c>
      <c r="B21" s="55" t="s">
        <v>43</v>
      </c>
      <c r="C21" s="56" t="s">
        <v>139</v>
      </c>
      <c r="D21" s="49">
        <v>0</v>
      </c>
      <c r="E21" s="49">
        <v>24351.1</v>
      </c>
      <c r="F21" s="49">
        <v>0</v>
      </c>
      <c r="G21" s="49">
        <v>0</v>
      </c>
      <c r="H21" s="49">
        <v>0</v>
      </c>
      <c r="I21" s="49">
        <v>0</v>
      </c>
      <c r="J21" s="49"/>
      <c r="K21" s="49">
        <v>24351.1</v>
      </c>
      <c r="L21" s="49">
        <v>0</v>
      </c>
      <c r="M21" s="49">
        <v>0</v>
      </c>
      <c r="N21" s="49">
        <v>0</v>
      </c>
      <c r="O21" s="49">
        <v>0</v>
      </c>
      <c r="P21" s="49">
        <v>22789.3</v>
      </c>
      <c r="Q21" s="49">
        <v>0</v>
      </c>
      <c r="R21" s="49">
        <v>0</v>
      </c>
      <c r="S21" s="49">
        <v>0</v>
      </c>
      <c r="T21" s="49">
        <v>22789.3</v>
      </c>
      <c r="U21" s="57" t="s">
        <v>570</v>
      </c>
      <c r="V21" s="57" t="s">
        <v>141</v>
      </c>
      <c r="W21" s="57" t="s">
        <v>104</v>
      </c>
      <c r="X21" s="76" t="s">
        <v>373</v>
      </c>
      <c r="Y21" s="59" t="s">
        <v>475</v>
      </c>
      <c r="Z21" s="58" t="s">
        <v>251</v>
      </c>
      <c r="AA21" s="58"/>
      <c r="AC21" s="30"/>
      <c r="AD21" s="70">
        <f t="shared" si="3"/>
        <v>1561.7999999999993</v>
      </c>
      <c r="AF21" s="30"/>
      <c r="AH21" s="30"/>
    </row>
    <row r="22" spans="1:34" s="29" customFormat="1" ht="409.6" customHeight="1" x14ac:dyDescent="0.35">
      <c r="A22" s="93" t="s">
        <v>223</v>
      </c>
      <c r="B22" s="55" t="s">
        <v>310</v>
      </c>
      <c r="C22" s="56" t="s">
        <v>139</v>
      </c>
      <c r="D22" s="49">
        <v>0</v>
      </c>
      <c r="E22" s="49">
        <v>63500.9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63500.9</v>
      </c>
      <c r="L22" s="49">
        <v>0</v>
      </c>
      <c r="M22" s="49">
        <v>0</v>
      </c>
      <c r="N22" s="49">
        <v>0</v>
      </c>
      <c r="O22" s="49">
        <v>0</v>
      </c>
      <c r="P22" s="49">
        <v>63140.7</v>
      </c>
      <c r="Q22" s="49">
        <v>0</v>
      </c>
      <c r="R22" s="49">
        <v>0</v>
      </c>
      <c r="S22" s="49">
        <v>0</v>
      </c>
      <c r="T22" s="49">
        <v>63140.7</v>
      </c>
      <c r="U22" s="57" t="s">
        <v>571</v>
      </c>
      <c r="V22" s="57" t="s">
        <v>141</v>
      </c>
      <c r="W22" s="57" t="s">
        <v>104</v>
      </c>
      <c r="X22" s="137" t="s">
        <v>394</v>
      </c>
      <c r="Y22" s="183" t="s">
        <v>476</v>
      </c>
      <c r="Z22" s="58" t="s">
        <v>204</v>
      </c>
      <c r="AA22" s="58" t="s">
        <v>487</v>
      </c>
      <c r="AC22" s="30"/>
      <c r="AD22" s="70">
        <f t="shared" si="3"/>
        <v>360.20000000000437</v>
      </c>
      <c r="AF22" s="30"/>
      <c r="AH22" s="30"/>
    </row>
    <row r="23" spans="1:34" s="77" customFormat="1" ht="206.25" customHeight="1" x14ac:dyDescent="0.35">
      <c r="A23" s="97" t="s">
        <v>84</v>
      </c>
      <c r="B23" s="98" t="s">
        <v>348</v>
      </c>
      <c r="C23" s="56" t="s">
        <v>139</v>
      </c>
      <c r="D23" s="99">
        <v>0</v>
      </c>
      <c r="E23" s="99">
        <v>0</v>
      </c>
      <c r="F23" s="99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9">
        <v>0</v>
      </c>
      <c r="Q23" s="99">
        <v>0</v>
      </c>
      <c r="R23" s="99">
        <v>0</v>
      </c>
      <c r="S23" s="99">
        <v>0</v>
      </c>
      <c r="T23" s="99">
        <v>0</v>
      </c>
      <c r="U23" s="59"/>
      <c r="V23" s="100" t="s">
        <v>150</v>
      </c>
      <c r="W23" s="100" t="s">
        <v>100</v>
      </c>
      <c r="X23" s="101">
        <v>5350</v>
      </c>
      <c r="Y23" s="174">
        <v>12764</v>
      </c>
      <c r="Z23" s="102" t="s">
        <v>251</v>
      </c>
      <c r="AA23" s="58"/>
      <c r="AC23" s="94"/>
      <c r="AD23" s="70">
        <f t="shared" si="3"/>
        <v>0</v>
      </c>
      <c r="AF23" s="94"/>
      <c r="AH23" s="94"/>
    </row>
    <row r="24" spans="1:34" s="29" customFormat="1" ht="264.75" customHeight="1" x14ac:dyDescent="0.35">
      <c r="A24" s="97" t="s">
        <v>243</v>
      </c>
      <c r="B24" s="55" t="s">
        <v>248</v>
      </c>
      <c r="C24" s="56" t="s">
        <v>139</v>
      </c>
      <c r="D24" s="49">
        <v>2887.7</v>
      </c>
      <c r="E24" s="49">
        <v>6876</v>
      </c>
      <c r="F24" s="49">
        <v>0</v>
      </c>
      <c r="G24" s="49">
        <v>0</v>
      </c>
      <c r="H24" s="49">
        <v>0</v>
      </c>
      <c r="I24" s="49">
        <v>2887.7</v>
      </c>
      <c r="J24" s="49">
        <v>0</v>
      </c>
      <c r="K24" s="49">
        <v>6876</v>
      </c>
      <c r="L24" s="49">
        <v>0</v>
      </c>
      <c r="M24" s="49">
        <v>0</v>
      </c>
      <c r="N24" s="49">
        <v>2887.7</v>
      </c>
      <c r="O24" s="49">
        <v>0</v>
      </c>
      <c r="P24" s="49">
        <v>6876</v>
      </c>
      <c r="Q24" s="49">
        <v>0</v>
      </c>
      <c r="R24" s="49">
        <v>0</v>
      </c>
      <c r="S24" s="49">
        <v>0</v>
      </c>
      <c r="T24" s="49">
        <v>9763.7000000000007</v>
      </c>
      <c r="U24" s="57"/>
      <c r="V24" s="57" t="s">
        <v>437</v>
      </c>
      <c r="W24" s="57" t="s">
        <v>100</v>
      </c>
      <c r="X24" s="76">
        <v>1</v>
      </c>
      <c r="Y24" s="182">
        <v>1</v>
      </c>
      <c r="Z24" s="58" t="s">
        <v>251</v>
      </c>
      <c r="AA24" s="58"/>
      <c r="AC24" s="30"/>
      <c r="AD24" s="70">
        <f t="shared" si="3"/>
        <v>0</v>
      </c>
      <c r="AF24" s="30"/>
      <c r="AH24" s="30"/>
    </row>
    <row r="25" spans="1:34" s="29" customFormat="1" ht="409.6" customHeight="1" x14ac:dyDescent="0.35">
      <c r="A25" s="97" t="s">
        <v>428</v>
      </c>
      <c r="B25" s="55" t="s">
        <v>429</v>
      </c>
      <c r="C25" s="56" t="s">
        <v>139</v>
      </c>
      <c r="D25" s="49">
        <v>132165.4</v>
      </c>
      <c r="E25" s="49">
        <v>1335.1</v>
      </c>
      <c r="F25" s="49">
        <v>0</v>
      </c>
      <c r="G25" s="49">
        <v>0</v>
      </c>
      <c r="H25" s="49">
        <v>0</v>
      </c>
      <c r="I25" s="49">
        <v>52994.5</v>
      </c>
      <c r="J25" s="49">
        <v>0</v>
      </c>
      <c r="K25" s="49">
        <v>1335.1</v>
      </c>
      <c r="L25" s="49">
        <v>0</v>
      </c>
      <c r="M25" s="49">
        <v>0</v>
      </c>
      <c r="N25" s="49">
        <v>24454.9</v>
      </c>
      <c r="O25" s="49">
        <v>0</v>
      </c>
      <c r="P25" s="49">
        <v>247</v>
      </c>
      <c r="Q25" s="49">
        <v>0</v>
      </c>
      <c r="R25" s="49">
        <v>0</v>
      </c>
      <c r="S25" s="49">
        <v>0</v>
      </c>
      <c r="T25" s="49">
        <v>24701.9</v>
      </c>
      <c r="U25" s="57" t="s">
        <v>505</v>
      </c>
      <c r="V25" s="57" t="s">
        <v>430</v>
      </c>
      <c r="W25" s="57" t="s">
        <v>104</v>
      </c>
      <c r="X25" s="76">
        <v>2822</v>
      </c>
      <c r="Y25" s="182">
        <v>940</v>
      </c>
      <c r="Z25" s="58" t="s">
        <v>204</v>
      </c>
      <c r="AA25" s="58" t="s">
        <v>504</v>
      </c>
      <c r="AC25" s="30"/>
      <c r="AD25" s="70">
        <f t="shared" si="3"/>
        <v>29627.699999999997</v>
      </c>
      <c r="AF25" s="30"/>
      <c r="AH25" s="30"/>
    </row>
    <row r="26" spans="1:34" s="29" customFormat="1" ht="210.75" customHeight="1" x14ac:dyDescent="0.35">
      <c r="A26" s="93" t="s">
        <v>44</v>
      </c>
      <c r="B26" s="55" t="s">
        <v>45</v>
      </c>
      <c r="C26" s="56" t="s">
        <v>139</v>
      </c>
      <c r="D26" s="49">
        <v>0</v>
      </c>
      <c r="E26" s="49">
        <v>1625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1625</v>
      </c>
      <c r="L26" s="49">
        <v>0</v>
      </c>
      <c r="M26" s="49">
        <v>0</v>
      </c>
      <c r="N26" s="49">
        <v>0</v>
      </c>
      <c r="O26" s="49">
        <v>0</v>
      </c>
      <c r="P26" s="49">
        <v>1556.2</v>
      </c>
      <c r="Q26" s="49">
        <v>0</v>
      </c>
      <c r="R26" s="49">
        <v>0</v>
      </c>
      <c r="S26" s="49">
        <v>0</v>
      </c>
      <c r="T26" s="49">
        <v>1556.2</v>
      </c>
      <c r="U26" s="57" t="s">
        <v>551</v>
      </c>
      <c r="V26" s="57" t="s">
        <v>151</v>
      </c>
      <c r="W26" s="57" t="s">
        <v>142</v>
      </c>
      <c r="X26" s="57">
        <v>225.5</v>
      </c>
      <c r="Y26" s="59">
        <v>177.1</v>
      </c>
      <c r="Z26" s="58" t="s">
        <v>204</v>
      </c>
      <c r="AA26" s="58" t="s">
        <v>534</v>
      </c>
      <c r="AC26" s="30"/>
      <c r="AD26" s="70">
        <f t="shared" si="3"/>
        <v>68.799999999999955</v>
      </c>
      <c r="AF26" s="30"/>
      <c r="AH26" s="30"/>
    </row>
    <row r="27" spans="1:34" s="29" customFormat="1" ht="104.25" customHeight="1" x14ac:dyDescent="0.35">
      <c r="A27" s="93" t="s">
        <v>46</v>
      </c>
      <c r="B27" s="55" t="s">
        <v>47</v>
      </c>
      <c r="C27" s="56" t="s">
        <v>139</v>
      </c>
      <c r="D27" s="49">
        <v>0</v>
      </c>
      <c r="E27" s="49">
        <v>730</v>
      </c>
      <c r="F27" s="49">
        <v>0</v>
      </c>
      <c r="G27" s="57"/>
      <c r="H27" s="49">
        <v>0</v>
      </c>
      <c r="I27" s="49">
        <v>0</v>
      </c>
      <c r="J27" s="49">
        <v>0</v>
      </c>
      <c r="K27" s="49">
        <v>730</v>
      </c>
      <c r="L27" s="49">
        <v>0</v>
      </c>
      <c r="M27" s="49">
        <v>0</v>
      </c>
      <c r="N27" s="49">
        <v>0</v>
      </c>
      <c r="O27" s="49">
        <v>0</v>
      </c>
      <c r="P27" s="49">
        <v>728.9</v>
      </c>
      <c r="Q27" s="49">
        <v>0</v>
      </c>
      <c r="R27" s="49">
        <v>0</v>
      </c>
      <c r="S27" s="49">
        <v>0</v>
      </c>
      <c r="T27" s="49">
        <v>728.9</v>
      </c>
      <c r="U27" s="57" t="s">
        <v>535</v>
      </c>
      <c r="V27" s="57" t="s">
        <v>141</v>
      </c>
      <c r="W27" s="57" t="s">
        <v>142</v>
      </c>
      <c r="X27" s="57">
        <v>3.9</v>
      </c>
      <c r="Y27" s="59">
        <v>6.9</v>
      </c>
      <c r="Z27" s="58" t="s">
        <v>251</v>
      </c>
      <c r="AA27" s="58"/>
      <c r="AC27" s="30"/>
      <c r="AD27" s="70">
        <f t="shared" si="3"/>
        <v>1.1000000000000227</v>
      </c>
      <c r="AF27" s="30"/>
      <c r="AH27" s="30"/>
    </row>
    <row r="28" spans="1:34" s="29" customFormat="1" ht="93.75" customHeight="1" x14ac:dyDescent="0.35">
      <c r="A28" s="93" t="s">
        <v>48</v>
      </c>
      <c r="B28" s="55" t="s">
        <v>49</v>
      </c>
      <c r="C28" s="56" t="s">
        <v>139</v>
      </c>
      <c r="D28" s="49">
        <v>0</v>
      </c>
      <c r="E28" s="49">
        <v>269.3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269.3</v>
      </c>
      <c r="L28" s="49">
        <v>0</v>
      </c>
      <c r="M28" s="49">
        <v>0</v>
      </c>
      <c r="N28" s="49">
        <v>0</v>
      </c>
      <c r="O28" s="49">
        <v>0</v>
      </c>
      <c r="P28" s="49">
        <v>268.39999999999998</v>
      </c>
      <c r="Q28" s="49">
        <v>0</v>
      </c>
      <c r="R28" s="49">
        <v>0</v>
      </c>
      <c r="S28" s="49">
        <v>0</v>
      </c>
      <c r="T28" s="49">
        <v>268.39999999999998</v>
      </c>
      <c r="U28" s="57" t="s">
        <v>536</v>
      </c>
      <c r="V28" s="57" t="s">
        <v>141</v>
      </c>
      <c r="W28" s="57" t="s">
        <v>142</v>
      </c>
      <c r="X28" s="57">
        <v>3.9</v>
      </c>
      <c r="Y28" s="59">
        <v>6.2</v>
      </c>
      <c r="Z28" s="58" t="s">
        <v>251</v>
      </c>
      <c r="AA28" s="58"/>
      <c r="AC28" s="30"/>
      <c r="AD28" s="70">
        <f t="shared" si="3"/>
        <v>0.90000000000003411</v>
      </c>
      <c r="AF28" s="30"/>
      <c r="AH28" s="30"/>
    </row>
    <row r="29" spans="1:34" s="29" customFormat="1" ht="122.25" customHeight="1" x14ac:dyDescent="0.35">
      <c r="A29" s="93" t="s">
        <v>50</v>
      </c>
      <c r="B29" s="55" t="s">
        <v>51</v>
      </c>
      <c r="C29" s="56" t="s">
        <v>139</v>
      </c>
      <c r="D29" s="49">
        <v>0</v>
      </c>
      <c r="E29" s="49">
        <v>44492.4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44492.4</v>
      </c>
      <c r="L29" s="49">
        <v>0</v>
      </c>
      <c r="M29" s="49">
        <v>0</v>
      </c>
      <c r="N29" s="49">
        <v>0</v>
      </c>
      <c r="O29" s="49">
        <v>0</v>
      </c>
      <c r="P29" s="49">
        <v>43133.8</v>
      </c>
      <c r="Q29" s="49">
        <v>0</v>
      </c>
      <c r="R29" s="49">
        <v>0</v>
      </c>
      <c r="S29" s="49">
        <v>0</v>
      </c>
      <c r="T29" s="49">
        <v>43133.9</v>
      </c>
      <c r="U29" s="57" t="s">
        <v>537</v>
      </c>
      <c r="V29" s="57" t="s">
        <v>141</v>
      </c>
      <c r="W29" s="57" t="s">
        <v>142</v>
      </c>
      <c r="X29" s="57">
        <v>4.7</v>
      </c>
      <c r="Y29" s="59">
        <v>4.7</v>
      </c>
      <c r="Z29" s="58" t="s">
        <v>251</v>
      </c>
      <c r="AA29" s="58"/>
      <c r="AC29" s="30"/>
      <c r="AD29" s="70">
        <f t="shared" si="3"/>
        <v>1358.5999999999985</v>
      </c>
      <c r="AF29" s="30"/>
      <c r="AH29" s="30"/>
    </row>
    <row r="30" spans="1:34" s="29" customFormat="1" ht="205.5" customHeight="1" x14ac:dyDescent="0.35">
      <c r="A30" s="93" t="s">
        <v>244</v>
      </c>
      <c r="B30" s="55" t="s">
        <v>247</v>
      </c>
      <c r="C30" s="56" t="s">
        <v>139</v>
      </c>
      <c r="D30" s="49">
        <v>3447</v>
      </c>
      <c r="E30" s="49">
        <v>835.1</v>
      </c>
      <c r="F30" s="49">
        <v>0</v>
      </c>
      <c r="G30" s="49">
        <v>0</v>
      </c>
      <c r="H30" s="49">
        <v>0</v>
      </c>
      <c r="I30" s="49">
        <v>3447</v>
      </c>
      <c r="J30" s="49">
        <v>0</v>
      </c>
      <c r="K30" s="49">
        <v>835.1</v>
      </c>
      <c r="L30" s="49">
        <v>0</v>
      </c>
      <c r="M30" s="49">
        <v>0</v>
      </c>
      <c r="N30" s="49">
        <v>3447</v>
      </c>
      <c r="O30" s="49">
        <v>0</v>
      </c>
      <c r="P30" s="49">
        <v>835.1</v>
      </c>
      <c r="Q30" s="49">
        <v>0</v>
      </c>
      <c r="R30" s="49">
        <v>0</v>
      </c>
      <c r="S30" s="49">
        <v>0</v>
      </c>
      <c r="T30" s="49">
        <v>4282.1000000000004</v>
      </c>
      <c r="U30" s="57"/>
      <c r="V30" s="57" t="s">
        <v>152</v>
      </c>
      <c r="W30" s="57" t="s">
        <v>104</v>
      </c>
      <c r="X30" s="76">
        <v>62</v>
      </c>
      <c r="Y30" s="182">
        <v>342</v>
      </c>
      <c r="Z30" s="58" t="s">
        <v>251</v>
      </c>
      <c r="AA30" s="58"/>
      <c r="AC30" s="30"/>
      <c r="AD30" s="70">
        <f t="shared" si="3"/>
        <v>0</v>
      </c>
      <c r="AF30" s="30"/>
      <c r="AH30" s="30"/>
    </row>
    <row r="31" spans="1:34" s="29" customFormat="1" ht="276" customHeight="1" x14ac:dyDescent="0.35">
      <c r="A31" s="93" t="s">
        <v>357</v>
      </c>
      <c r="B31" s="55" t="s">
        <v>371</v>
      </c>
      <c r="C31" s="56" t="s">
        <v>139</v>
      </c>
      <c r="D31" s="49">
        <v>15455.2</v>
      </c>
      <c r="E31" s="49">
        <v>3122.8</v>
      </c>
      <c r="F31" s="49">
        <v>0</v>
      </c>
      <c r="G31" s="49">
        <v>0</v>
      </c>
      <c r="H31" s="49">
        <v>0</v>
      </c>
      <c r="I31" s="49">
        <v>15455.2</v>
      </c>
      <c r="J31" s="49">
        <v>0</v>
      </c>
      <c r="K31" s="49">
        <v>3122.8</v>
      </c>
      <c r="L31" s="49">
        <v>0</v>
      </c>
      <c r="M31" s="49">
        <v>0</v>
      </c>
      <c r="N31" s="49">
        <v>14508.1</v>
      </c>
      <c r="O31" s="49">
        <v>0</v>
      </c>
      <c r="P31" s="49">
        <v>2893.7</v>
      </c>
      <c r="Q31" s="49">
        <v>0</v>
      </c>
      <c r="R31" s="49">
        <v>0</v>
      </c>
      <c r="S31" s="49">
        <v>0</v>
      </c>
      <c r="T31" s="49">
        <v>17430.3</v>
      </c>
      <c r="U31" s="57" t="s">
        <v>555</v>
      </c>
      <c r="V31" s="57" t="s">
        <v>152</v>
      </c>
      <c r="W31" s="57" t="s">
        <v>104</v>
      </c>
      <c r="X31" s="76">
        <v>284</v>
      </c>
      <c r="Y31" s="182">
        <v>1045</v>
      </c>
      <c r="Z31" s="58" t="s">
        <v>251</v>
      </c>
      <c r="AA31" s="58"/>
      <c r="AB31" s="30">
        <f>D31-N31</f>
        <v>947.10000000000036</v>
      </c>
      <c r="AC31" s="30"/>
      <c r="AD31" s="70">
        <f t="shared" si="3"/>
        <v>1176.1999999999998</v>
      </c>
      <c r="AF31" s="30"/>
      <c r="AH31" s="30"/>
    </row>
    <row r="32" spans="1:34" s="29" customFormat="1" ht="246" customHeight="1" x14ac:dyDescent="0.35">
      <c r="A32" s="93" t="s">
        <v>358</v>
      </c>
      <c r="B32" s="55" t="s">
        <v>372</v>
      </c>
      <c r="C32" s="56" t="s">
        <v>139</v>
      </c>
      <c r="D32" s="49">
        <v>16649.599999999999</v>
      </c>
      <c r="E32" s="49">
        <v>6393.3</v>
      </c>
      <c r="F32" s="49">
        <v>0</v>
      </c>
      <c r="G32" s="49">
        <v>0</v>
      </c>
      <c r="H32" s="49">
        <v>0</v>
      </c>
      <c r="I32" s="49">
        <v>16649.599999999999</v>
      </c>
      <c r="J32" s="49">
        <v>0</v>
      </c>
      <c r="K32" s="49">
        <v>6393.3</v>
      </c>
      <c r="L32" s="49">
        <v>0</v>
      </c>
      <c r="M32" s="49">
        <v>0</v>
      </c>
      <c r="N32" s="49">
        <v>15298.9</v>
      </c>
      <c r="O32" s="49">
        <v>0</v>
      </c>
      <c r="P32" s="49">
        <v>2771.7</v>
      </c>
      <c r="Q32" s="49">
        <v>0</v>
      </c>
      <c r="R32" s="49">
        <v>0</v>
      </c>
      <c r="S32" s="49">
        <v>0</v>
      </c>
      <c r="T32" s="49">
        <v>18144.400000000001</v>
      </c>
      <c r="U32" s="57" t="s">
        <v>554</v>
      </c>
      <c r="V32" s="57" t="s">
        <v>152</v>
      </c>
      <c r="W32" s="57" t="s">
        <v>104</v>
      </c>
      <c r="X32" s="76">
        <v>217</v>
      </c>
      <c r="Y32" s="182">
        <v>3024</v>
      </c>
      <c r="Z32" s="58" t="s">
        <v>251</v>
      </c>
      <c r="AA32" s="58"/>
      <c r="AB32" s="30">
        <f>D32-N32</f>
        <v>1350.6999999999989</v>
      </c>
      <c r="AC32" s="30"/>
      <c r="AD32" s="70">
        <f t="shared" si="3"/>
        <v>4972.2999999999984</v>
      </c>
      <c r="AF32" s="30"/>
      <c r="AH32" s="30"/>
    </row>
    <row r="33" spans="1:101" s="48" customFormat="1" ht="207.75" customHeight="1" x14ac:dyDescent="0.35">
      <c r="A33" s="93" t="s">
        <v>54</v>
      </c>
      <c r="B33" s="55" t="s">
        <v>55</v>
      </c>
      <c r="C33" s="56" t="s">
        <v>139</v>
      </c>
      <c r="D33" s="49">
        <v>6612896.7000000002</v>
      </c>
      <c r="E33" s="49">
        <v>0</v>
      </c>
      <c r="F33" s="49">
        <v>0</v>
      </c>
      <c r="G33" s="49">
        <v>0</v>
      </c>
      <c r="H33" s="49">
        <v>0</v>
      </c>
      <c r="I33" s="49">
        <v>6174702.0999999996</v>
      </c>
      <c r="J33" s="49">
        <v>0</v>
      </c>
      <c r="K33" s="49">
        <v>0</v>
      </c>
      <c r="L33" s="49">
        <v>0</v>
      </c>
      <c r="M33" s="49">
        <v>0</v>
      </c>
      <c r="N33" s="49">
        <v>6126357.7999999998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/>
      <c r="U33" s="57" t="s">
        <v>560</v>
      </c>
      <c r="V33" s="57" t="s">
        <v>153</v>
      </c>
      <c r="W33" s="57" t="s">
        <v>104</v>
      </c>
      <c r="X33" s="57" t="s">
        <v>137</v>
      </c>
      <c r="Y33" s="184">
        <v>207818</v>
      </c>
      <c r="Z33" s="58" t="s">
        <v>251</v>
      </c>
      <c r="AA33" s="58"/>
      <c r="AB33" s="30">
        <f>I33-N33</f>
        <v>48344.299999999814</v>
      </c>
      <c r="AC33" s="30"/>
      <c r="AD33" s="70">
        <f t="shared" si="3"/>
        <v>48344.299999999814</v>
      </c>
      <c r="AE33" s="30">
        <f>I33-N33</f>
        <v>48344.299999999814</v>
      </c>
      <c r="AF33" s="30"/>
      <c r="AG33" s="29"/>
      <c r="AH33" s="30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</row>
    <row r="34" spans="1:101" s="48" customFormat="1" ht="197.25" customHeight="1" x14ac:dyDescent="0.35">
      <c r="A34" s="93" t="s">
        <v>56</v>
      </c>
      <c r="B34" s="55" t="s">
        <v>57</v>
      </c>
      <c r="C34" s="56" t="s">
        <v>139</v>
      </c>
      <c r="D34" s="49">
        <v>33233.1</v>
      </c>
      <c r="E34" s="49">
        <v>0</v>
      </c>
      <c r="F34" s="49">
        <v>0</v>
      </c>
      <c r="G34" s="49">
        <v>0</v>
      </c>
      <c r="H34" s="49">
        <v>0</v>
      </c>
      <c r="I34" s="49">
        <v>29833.1</v>
      </c>
      <c r="J34" s="49">
        <v>0</v>
      </c>
      <c r="K34" s="49">
        <v>0</v>
      </c>
      <c r="L34" s="49">
        <v>0</v>
      </c>
      <c r="M34" s="49">
        <v>0</v>
      </c>
      <c r="N34" s="49">
        <v>26949.599999999999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/>
      <c r="U34" s="57" t="s">
        <v>488</v>
      </c>
      <c r="V34" s="57" t="s">
        <v>154</v>
      </c>
      <c r="W34" s="57" t="s">
        <v>104</v>
      </c>
      <c r="X34" s="57" t="s">
        <v>137</v>
      </c>
      <c r="Y34" s="184">
        <v>4723</v>
      </c>
      <c r="Z34" s="58" t="s">
        <v>251</v>
      </c>
      <c r="AA34" s="58"/>
      <c r="AB34" s="30">
        <f>I34-N34</f>
        <v>2883.5</v>
      </c>
      <c r="AC34" s="30"/>
      <c r="AD34" s="70">
        <f t="shared" si="3"/>
        <v>2883.5</v>
      </c>
      <c r="AE34" s="29"/>
      <c r="AF34" s="30"/>
      <c r="AG34" s="29"/>
      <c r="AH34" s="30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</row>
    <row r="35" spans="1:101" s="48" customFormat="1" ht="330" customHeight="1" x14ac:dyDescent="0.35">
      <c r="A35" s="191" t="s">
        <v>58</v>
      </c>
      <c r="B35" s="55" t="s">
        <v>349</v>
      </c>
      <c r="C35" s="56" t="s">
        <v>139</v>
      </c>
      <c r="D35" s="49">
        <v>19000</v>
      </c>
      <c r="E35" s="49">
        <v>0</v>
      </c>
      <c r="F35" s="49">
        <v>0</v>
      </c>
      <c r="G35" s="49">
        <v>0</v>
      </c>
      <c r="H35" s="49">
        <v>0</v>
      </c>
      <c r="I35" s="49">
        <v>19000</v>
      </c>
      <c r="J35" s="49">
        <v>0</v>
      </c>
      <c r="K35" s="49">
        <v>0</v>
      </c>
      <c r="L35" s="49">
        <v>0</v>
      </c>
      <c r="M35" s="49">
        <v>0</v>
      </c>
      <c r="N35" s="49">
        <v>15810.5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/>
      <c r="U35" s="57" t="s">
        <v>565</v>
      </c>
      <c r="V35" s="57" t="s">
        <v>155</v>
      </c>
      <c r="W35" s="57" t="s">
        <v>104</v>
      </c>
      <c r="X35" s="57" t="s">
        <v>137</v>
      </c>
      <c r="Y35" s="182">
        <v>42</v>
      </c>
      <c r="Z35" s="58" t="s">
        <v>251</v>
      </c>
      <c r="AA35" s="58"/>
      <c r="AB35" s="29"/>
      <c r="AC35" s="30"/>
      <c r="AD35" s="70">
        <f t="shared" si="3"/>
        <v>3189.5</v>
      </c>
      <c r="AE35" s="29"/>
      <c r="AF35" s="30"/>
      <c r="AG35" s="29"/>
      <c r="AH35" s="30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</row>
    <row r="36" spans="1:101" s="48" customFormat="1" ht="192.75" customHeight="1" x14ac:dyDescent="0.35">
      <c r="A36" s="93" t="s">
        <v>59</v>
      </c>
      <c r="B36" s="55" t="s">
        <v>188</v>
      </c>
      <c r="C36" s="56" t="s">
        <v>139</v>
      </c>
      <c r="D36" s="49">
        <v>2167.1</v>
      </c>
      <c r="E36" s="49">
        <v>0</v>
      </c>
      <c r="F36" s="49">
        <v>0</v>
      </c>
      <c r="G36" s="49">
        <v>0</v>
      </c>
      <c r="H36" s="49">
        <v>0</v>
      </c>
      <c r="I36" s="49">
        <v>1280</v>
      </c>
      <c r="J36" s="49">
        <v>0</v>
      </c>
      <c r="K36" s="49">
        <v>0</v>
      </c>
      <c r="L36" s="49">
        <v>0</v>
      </c>
      <c r="M36" s="49">
        <v>0</v>
      </c>
      <c r="N36" s="49">
        <v>989.2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/>
      <c r="U36" s="57" t="s">
        <v>489</v>
      </c>
      <c r="V36" s="57" t="s">
        <v>156</v>
      </c>
      <c r="W36" s="50" t="s">
        <v>104</v>
      </c>
      <c r="X36" s="50" t="s">
        <v>137</v>
      </c>
      <c r="Y36" s="192">
        <v>830</v>
      </c>
      <c r="Z36" s="58" t="s">
        <v>251</v>
      </c>
      <c r="AA36" s="58"/>
      <c r="AB36" s="29"/>
      <c r="AC36" s="30"/>
      <c r="AD36" s="70">
        <f t="shared" si="3"/>
        <v>290.79999999999995</v>
      </c>
      <c r="AE36" s="29"/>
      <c r="AF36" s="30"/>
      <c r="AG36" s="29"/>
      <c r="AH36" s="30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</row>
    <row r="37" spans="1:101" s="48" customFormat="1" ht="198" customHeight="1" x14ac:dyDescent="0.35">
      <c r="A37" s="93" t="s">
        <v>60</v>
      </c>
      <c r="B37" s="55" t="s">
        <v>208</v>
      </c>
      <c r="C37" s="56" t="s">
        <v>139</v>
      </c>
      <c r="D37" s="49">
        <v>330</v>
      </c>
      <c r="E37" s="49">
        <v>0</v>
      </c>
      <c r="F37" s="49">
        <v>0</v>
      </c>
      <c r="G37" s="49">
        <v>0</v>
      </c>
      <c r="H37" s="49">
        <v>0</v>
      </c>
      <c r="I37" s="49">
        <v>330</v>
      </c>
      <c r="J37" s="49">
        <v>0</v>
      </c>
      <c r="K37" s="49">
        <v>0</v>
      </c>
      <c r="L37" s="49">
        <v>0</v>
      </c>
      <c r="M37" s="49">
        <v>0</v>
      </c>
      <c r="N37" s="49">
        <v>277.8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/>
      <c r="U37" s="57" t="s">
        <v>490</v>
      </c>
      <c r="V37" s="57" t="s">
        <v>157</v>
      </c>
      <c r="W37" s="50" t="s">
        <v>104</v>
      </c>
      <c r="X37" s="50" t="s">
        <v>137</v>
      </c>
      <c r="Y37" s="192">
        <v>179</v>
      </c>
      <c r="Z37" s="58" t="s">
        <v>251</v>
      </c>
      <c r="AA37" s="58"/>
      <c r="AB37" s="29"/>
      <c r="AC37" s="30"/>
      <c r="AD37" s="70">
        <f t="shared" si="3"/>
        <v>52.199999999999989</v>
      </c>
      <c r="AE37" s="29"/>
      <c r="AF37" s="30"/>
      <c r="AG37" s="29"/>
      <c r="AH37" s="30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</row>
    <row r="38" spans="1:101" s="48" customFormat="1" ht="237.75" customHeight="1" x14ac:dyDescent="0.35">
      <c r="A38" s="93" t="s">
        <v>290</v>
      </c>
      <c r="B38" s="55" t="s">
        <v>344</v>
      </c>
      <c r="C38" s="56" t="s">
        <v>139</v>
      </c>
      <c r="D38" s="49">
        <v>16644.099999999999</v>
      </c>
      <c r="E38" s="49">
        <v>0</v>
      </c>
      <c r="F38" s="49">
        <v>0</v>
      </c>
      <c r="G38" s="49">
        <v>0</v>
      </c>
      <c r="H38" s="49">
        <v>0</v>
      </c>
      <c r="I38" s="49">
        <v>16644.099999999999</v>
      </c>
      <c r="J38" s="49">
        <v>0</v>
      </c>
      <c r="K38" s="49">
        <v>0</v>
      </c>
      <c r="L38" s="49">
        <v>0</v>
      </c>
      <c r="M38" s="49">
        <v>0</v>
      </c>
      <c r="N38" s="49">
        <v>15948.6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15948.6</v>
      </c>
      <c r="U38" s="57" t="s">
        <v>538</v>
      </c>
      <c r="V38" s="57" t="s">
        <v>291</v>
      </c>
      <c r="W38" s="50" t="s">
        <v>137</v>
      </c>
      <c r="X38" s="50" t="s">
        <v>137</v>
      </c>
      <c r="Y38" s="59" t="s">
        <v>137</v>
      </c>
      <c r="Z38" s="58" t="s">
        <v>251</v>
      </c>
      <c r="AA38" s="58"/>
      <c r="AB38" s="30">
        <f>I38-N38</f>
        <v>695.49999999999818</v>
      </c>
      <c r="AC38" s="30"/>
      <c r="AD38" s="70">
        <f t="shared" si="3"/>
        <v>695.49999999999818</v>
      </c>
      <c r="AE38" s="29"/>
      <c r="AF38" s="30"/>
      <c r="AG38" s="29"/>
      <c r="AH38" s="30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</row>
    <row r="39" spans="1:101" s="29" customFormat="1" ht="399" customHeight="1" x14ac:dyDescent="0.35">
      <c r="A39" s="97" t="s">
        <v>85</v>
      </c>
      <c r="B39" s="55" t="s">
        <v>86</v>
      </c>
      <c r="C39" s="56" t="s">
        <v>139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59"/>
      <c r="V39" s="57" t="s">
        <v>158</v>
      </c>
      <c r="W39" s="57" t="s">
        <v>137</v>
      </c>
      <c r="X39" s="57" t="s">
        <v>137</v>
      </c>
      <c r="Y39" s="86" t="s">
        <v>477</v>
      </c>
      <c r="Z39" s="58" t="s">
        <v>251</v>
      </c>
      <c r="AA39" s="58"/>
      <c r="AC39" s="30"/>
      <c r="AD39" s="70">
        <f t="shared" si="3"/>
        <v>0</v>
      </c>
      <c r="AF39" s="30"/>
      <c r="AH39" s="30"/>
    </row>
    <row r="40" spans="1:101" s="29" customFormat="1" ht="344.25" customHeight="1" x14ac:dyDescent="0.35">
      <c r="A40" s="97" t="s">
        <v>87</v>
      </c>
      <c r="B40" s="55" t="s">
        <v>88</v>
      </c>
      <c r="C40" s="56" t="s">
        <v>139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59"/>
      <c r="V40" s="57" t="s">
        <v>159</v>
      </c>
      <c r="W40" s="57" t="s">
        <v>137</v>
      </c>
      <c r="X40" s="57" t="s">
        <v>137</v>
      </c>
      <c r="Y40" s="86" t="s">
        <v>441</v>
      </c>
      <c r="Z40" s="58" t="s">
        <v>251</v>
      </c>
      <c r="AA40" s="58"/>
      <c r="AC40" s="30"/>
      <c r="AD40" s="70">
        <f t="shared" si="3"/>
        <v>0</v>
      </c>
      <c r="AF40" s="30"/>
      <c r="AH40" s="30"/>
    </row>
    <row r="41" spans="1:101" s="29" customFormat="1" ht="309.75" customHeight="1" x14ac:dyDescent="0.35">
      <c r="A41" s="97" t="s">
        <v>89</v>
      </c>
      <c r="B41" s="55" t="s">
        <v>90</v>
      </c>
      <c r="C41" s="56" t="s">
        <v>139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59"/>
      <c r="V41" s="57" t="s">
        <v>160</v>
      </c>
      <c r="W41" s="57" t="s">
        <v>137</v>
      </c>
      <c r="X41" s="57" t="s">
        <v>137</v>
      </c>
      <c r="Y41" s="86" t="s">
        <v>478</v>
      </c>
      <c r="Z41" s="58" t="s">
        <v>251</v>
      </c>
      <c r="AA41" s="58"/>
      <c r="AC41" s="30"/>
      <c r="AD41" s="70">
        <f t="shared" si="3"/>
        <v>0</v>
      </c>
      <c r="AF41" s="30"/>
      <c r="AH41" s="30"/>
    </row>
    <row r="42" spans="1:101" s="77" customFormat="1" ht="286.5" customHeight="1" x14ac:dyDescent="0.35">
      <c r="A42" s="93" t="s">
        <v>343</v>
      </c>
      <c r="B42" s="55" t="s">
        <v>61</v>
      </c>
      <c r="C42" s="56" t="s">
        <v>139</v>
      </c>
      <c r="D42" s="49">
        <v>0</v>
      </c>
      <c r="E42" s="49">
        <v>698595.9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698595.9</v>
      </c>
      <c r="L42" s="49">
        <v>0</v>
      </c>
      <c r="M42" s="49">
        <v>0</v>
      </c>
      <c r="N42" s="49">
        <v>0</v>
      </c>
      <c r="O42" s="49">
        <v>0</v>
      </c>
      <c r="P42" s="49">
        <v>692044.3</v>
      </c>
      <c r="Q42" s="49">
        <v>0</v>
      </c>
      <c r="R42" s="49">
        <v>0</v>
      </c>
      <c r="S42" s="49">
        <v>0</v>
      </c>
      <c r="T42" s="49">
        <f>677026.1+15473.9</f>
        <v>692500</v>
      </c>
      <c r="U42" s="57" t="s">
        <v>552</v>
      </c>
      <c r="V42" s="57" t="s">
        <v>161</v>
      </c>
      <c r="W42" s="57" t="s">
        <v>137</v>
      </c>
      <c r="X42" s="57" t="s">
        <v>137</v>
      </c>
      <c r="Y42" s="86" t="s">
        <v>137</v>
      </c>
      <c r="Z42" s="58" t="s">
        <v>204</v>
      </c>
      <c r="AA42" s="58" t="s">
        <v>137</v>
      </c>
      <c r="AC42" s="94"/>
      <c r="AD42" s="95">
        <f t="shared" si="3"/>
        <v>6551.5999999999767</v>
      </c>
      <c r="AF42" s="94"/>
      <c r="AH42" s="94"/>
    </row>
    <row r="43" spans="1:101" s="29" customFormat="1" ht="167.25" customHeight="1" x14ac:dyDescent="0.35">
      <c r="A43" s="93" t="s">
        <v>138</v>
      </c>
      <c r="B43" s="55" t="s">
        <v>175</v>
      </c>
      <c r="C43" s="56" t="s">
        <v>139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59"/>
      <c r="V43" s="57" t="s">
        <v>177</v>
      </c>
      <c r="W43" s="57" t="s">
        <v>163</v>
      </c>
      <c r="X43" s="76">
        <v>1</v>
      </c>
      <c r="Y43" s="184">
        <v>1</v>
      </c>
      <c r="Z43" s="58" t="s">
        <v>251</v>
      </c>
      <c r="AA43" s="58"/>
      <c r="AC43" s="30"/>
      <c r="AD43" s="70">
        <f t="shared" si="3"/>
        <v>0</v>
      </c>
      <c r="AF43" s="30"/>
      <c r="AH43" s="30"/>
    </row>
    <row r="44" spans="1:101" s="29" customFormat="1" ht="187.5" customHeight="1" x14ac:dyDescent="0.35">
      <c r="A44" s="93" t="s">
        <v>78</v>
      </c>
      <c r="B44" s="55" t="s">
        <v>176</v>
      </c>
      <c r="C44" s="56" t="s">
        <v>139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59"/>
      <c r="V44" s="57" t="s">
        <v>178</v>
      </c>
      <c r="W44" s="57" t="s">
        <v>143</v>
      </c>
      <c r="X44" s="76">
        <v>237</v>
      </c>
      <c r="Y44" s="59">
        <v>229.6</v>
      </c>
      <c r="Z44" s="58" t="s">
        <v>204</v>
      </c>
      <c r="AA44" s="58" t="s">
        <v>548</v>
      </c>
      <c r="AC44" s="30"/>
      <c r="AD44" s="70">
        <f t="shared" si="3"/>
        <v>0</v>
      </c>
      <c r="AF44" s="30"/>
      <c r="AH44" s="30"/>
    </row>
    <row r="45" spans="1:101" s="29" customFormat="1" ht="199.5" customHeight="1" x14ac:dyDescent="0.35">
      <c r="A45" s="93" t="s">
        <v>80</v>
      </c>
      <c r="B45" s="55" t="s">
        <v>179</v>
      </c>
      <c r="C45" s="56" t="s">
        <v>139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  <c r="T45" s="49">
        <v>0</v>
      </c>
      <c r="U45" s="59"/>
      <c r="V45" s="57" t="s">
        <v>180</v>
      </c>
      <c r="W45" s="57" t="s">
        <v>137</v>
      </c>
      <c r="X45" s="76" t="s">
        <v>137</v>
      </c>
      <c r="Y45" s="184">
        <v>3931</v>
      </c>
      <c r="Z45" s="58" t="s">
        <v>251</v>
      </c>
      <c r="AA45" s="58"/>
      <c r="AC45" s="30"/>
      <c r="AD45" s="70">
        <f t="shared" si="3"/>
        <v>0</v>
      </c>
      <c r="AF45" s="30"/>
      <c r="AH45" s="30"/>
    </row>
    <row r="46" spans="1:101" s="29" customFormat="1" ht="237.75" customHeight="1" x14ac:dyDescent="0.35">
      <c r="A46" s="93" t="s">
        <v>233</v>
      </c>
      <c r="B46" s="55" t="s">
        <v>234</v>
      </c>
      <c r="C46" s="56" t="s">
        <v>139</v>
      </c>
      <c r="D46" s="49">
        <v>0</v>
      </c>
      <c r="E46" s="49">
        <v>1744.6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1744.6</v>
      </c>
      <c r="L46" s="49">
        <v>0</v>
      </c>
      <c r="M46" s="49">
        <v>0</v>
      </c>
      <c r="N46" s="49">
        <v>0</v>
      </c>
      <c r="O46" s="49">
        <v>0</v>
      </c>
      <c r="P46" s="49">
        <v>1597.2</v>
      </c>
      <c r="Q46" s="49">
        <v>0</v>
      </c>
      <c r="R46" s="49">
        <v>0</v>
      </c>
      <c r="S46" s="49">
        <v>0</v>
      </c>
      <c r="T46" s="49">
        <v>1597.2</v>
      </c>
      <c r="U46" s="57" t="s">
        <v>572</v>
      </c>
      <c r="V46" s="57" t="s">
        <v>235</v>
      </c>
      <c r="W46" s="57" t="s">
        <v>104</v>
      </c>
      <c r="X46" s="76">
        <v>40</v>
      </c>
      <c r="Y46" s="182">
        <v>43</v>
      </c>
      <c r="Z46" s="58" t="s">
        <v>251</v>
      </c>
      <c r="AA46" s="58"/>
      <c r="AC46" s="30"/>
      <c r="AD46" s="70">
        <f t="shared" si="3"/>
        <v>147.39999999999986</v>
      </c>
      <c r="AF46" s="30"/>
      <c r="AH46" s="30"/>
    </row>
    <row r="47" spans="1:101" s="63" customFormat="1" ht="89.25" customHeight="1" x14ac:dyDescent="0.35">
      <c r="A47" s="193"/>
      <c r="B47" s="163" t="s">
        <v>62</v>
      </c>
      <c r="C47" s="157" t="s">
        <v>139</v>
      </c>
      <c r="D47" s="83">
        <v>0</v>
      </c>
      <c r="E47" s="83">
        <f>SUM(E48:E74)</f>
        <v>2590</v>
      </c>
      <c r="F47" s="83">
        <v>0</v>
      </c>
      <c r="G47" s="83">
        <v>0</v>
      </c>
      <c r="H47" s="83">
        <v>301541.90000000002</v>
      </c>
      <c r="I47" s="83">
        <v>0</v>
      </c>
      <c r="J47" s="83">
        <v>0</v>
      </c>
      <c r="K47" s="83">
        <f>SUM(K48:K74)</f>
        <v>2590</v>
      </c>
      <c r="L47" s="83">
        <v>0</v>
      </c>
      <c r="M47" s="83">
        <v>0</v>
      </c>
      <c r="N47" s="83">
        <v>0</v>
      </c>
      <c r="O47" s="83">
        <v>0</v>
      </c>
      <c r="P47" s="83">
        <f>SUM(P48:P74)</f>
        <v>2021.7</v>
      </c>
      <c r="Q47" s="83">
        <v>0</v>
      </c>
      <c r="R47" s="83">
        <v>0</v>
      </c>
      <c r="S47" s="83">
        <v>360786</v>
      </c>
      <c r="T47" s="83">
        <f>T50+T74</f>
        <v>1095.8</v>
      </c>
      <c r="U47" s="83"/>
      <c r="V47" s="158"/>
      <c r="W47" s="158"/>
      <c r="X47" s="158"/>
      <c r="Y47" s="187"/>
      <c r="Z47" s="164"/>
      <c r="AA47" s="164"/>
      <c r="AC47" s="62"/>
      <c r="AD47" s="70">
        <f t="shared" si="3"/>
        <v>568.29999999999995</v>
      </c>
      <c r="AF47" s="62"/>
      <c r="AH47" s="62"/>
    </row>
    <row r="48" spans="1:101" s="29" customFormat="1" ht="199.5" customHeight="1" x14ac:dyDescent="0.35">
      <c r="A48" s="97" t="s">
        <v>30</v>
      </c>
      <c r="B48" s="55" t="s">
        <v>63</v>
      </c>
      <c r="C48" s="56" t="s">
        <v>139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0</v>
      </c>
      <c r="U48" s="59"/>
      <c r="V48" s="159" t="s">
        <v>236</v>
      </c>
      <c r="W48" s="57" t="s">
        <v>95</v>
      </c>
      <c r="X48" s="57" t="s">
        <v>345</v>
      </c>
      <c r="Y48" s="175" t="s">
        <v>460</v>
      </c>
      <c r="Z48" s="58" t="s">
        <v>204</v>
      </c>
      <c r="AA48" s="58" t="s">
        <v>549</v>
      </c>
      <c r="AC48" s="30"/>
      <c r="AD48" s="70">
        <f t="shared" si="3"/>
        <v>0</v>
      </c>
      <c r="AF48" s="30"/>
      <c r="AH48" s="30"/>
    </row>
    <row r="49" spans="1:34" s="29" customFormat="1" ht="210.75" customHeight="1" x14ac:dyDescent="0.35">
      <c r="A49" s="97" t="s">
        <v>31</v>
      </c>
      <c r="B49" s="55" t="s">
        <v>64</v>
      </c>
      <c r="C49" s="56" t="s">
        <v>139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  <c r="S49" s="49">
        <v>0</v>
      </c>
      <c r="T49" s="49">
        <v>0</v>
      </c>
      <c r="U49" s="59"/>
      <c r="V49" s="199" t="s">
        <v>162</v>
      </c>
      <c r="W49" s="57" t="s">
        <v>163</v>
      </c>
      <c r="X49" s="76">
        <v>270</v>
      </c>
      <c r="Y49" s="86">
        <v>231</v>
      </c>
      <c r="Z49" s="58" t="s">
        <v>204</v>
      </c>
      <c r="AA49" s="58" t="s">
        <v>461</v>
      </c>
      <c r="AC49" s="30"/>
      <c r="AD49" s="70">
        <f t="shared" si="3"/>
        <v>0</v>
      </c>
      <c r="AF49" s="30"/>
      <c r="AH49" s="30"/>
    </row>
    <row r="50" spans="1:34" s="29" customFormat="1" ht="259.5" customHeight="1" x14ac:dyDescent="0.35">
      <c r="A50" s="97" t="s">
        <v>182</v>
      </c>
      <c r="B50" s="55" t="s">
        <v>237</v>
      </c>
      <c r="C50" s="56" t="s">
        <v>139</v>
      </c>
      <c r="D50" s="49">
        <v>0</v>
      </c>
      <c r="E50" s="49">
        <v>631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631</v>
      </c>
      <c r="L50" s="49">
        <v>0</v>
      </c>
      <c r="M50" s="49">
        <v>0</v>
      </c>
      <c r="N50" s="49">
        <v>0</v>
      </c>
      <c r="O50" s="49">
        <v>0</v>
      </c>
      <c r="P50" s="49">
        <v>505.8</v>
      </c>
      <c r="Q50" s="49">
        <v>0</v>
      </c>
      <c r="R50" s="49">
        <v>0</v>
      </c>
      <c r="S50" s="49">
        <v>0</v>
      </c>
      <c r="T50" s="49">
        <v>505.8</v>
      </c>
      <c r="U50" s="58" t="s">
        <v>561</v>
      </c>
      <c r="V50" s="199" t="s">
        <v>238</v>
      </c>
      <c r="W50" s="57" t="s">
        <v>239</v>
      </c>
      <c r="X50" s="76">
        <v>631</v>
      </c>
      <c r="Y50" s="176">
        <v>629</v>
      </c>
      <c r="Z50" s="58" t="s">
        <v>204</v>
      </c>
      <c r="AA50" s="58" t="s">
        <v>539</v>
      </c>
      <c r="AC50" s="30"/>
      <c r="AD50" s="70">
        <f t="shared" si="3"/>
        <v>125.19999999999999</v>
      </c>
      <c r="AF50" s="30"/>
      <c r="AH50" s="30"/>
    </row>
    <row r="51" spans="1:34" s="29" customFormat="1" ht="185.25" customHeight="1" x14ac:dyDescent="0.35">
      <c r="A51" s="97" t="s">
        <v>185</v>
      </c>
      <c r="B51" s="55" t="s">
        <v>262</v>
      </c>
      <c r="C51" s="56" t="s">
        <v>275</v>
      </c>
      <c r="D51" s="49">
        <v>0</v>
      </c>
      <c r="E51" s="49">
        <v>588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588</v>
      </c>
      <c r="L51" s="49">
        <v>0</v>
      </c>
      <c r="M51" s="49">
        <v>0</v>
      </c>
      <c r="N51" s="49">
        <v>0</v>
      </c>
      <c r="O51" s="49">
        <v>0</v>
      </c>
      <c r="P51" s="49">
        <v>573.6</v>
      </c>
      <c r="Q51" s="49">
        <v>0</v>
      </c>
      <c r="R51" s="49">
        <v>0</v>
      </c>
      <c r="S51" s="49">
        <v>0</v>
      </c>
      <c r="T51" s="49">
        <v>573.6</v>
      </c>
      <c r="U51" s="58" t="s">
        <v>462</v>
      </c>
      <c r="V51" s="199" t="s">
        <v>238</v>
      </c>
      <c r="W51" s="57" t="s">
        <v>239</v>
      </c>
      <c r="X51" s="76">
        <v>588</v>
      </c>
      <c r="Y51" s="86">
        <v>618</v>
      </c>
      <c r="Z51" s="58" t="s">
        <v>251</v>
      </c>
      <c r="AA51" s="58"/>
      <c r="AC51" s="30"/>
      <c r="AD51" s="70">
        <f t="shared" si="3"/>
        <v>14.399999999999977</v>
      </c>
      <c r="AF51" s="30"/>
      <c r="AH51" s="30"/>
    </row>
    <row r="52" spans="1:34" s="29" customFormat="1" ht="163.5" customHeight="1" x14ac:dyDescent="0.35">
      <c r="A52" s="97" t="s">
        <v>266</v>
      </c>
      <c r="B52" s="55" t="s">
        <v>263</v>
      </c>
      <c r="C52" s="56" t="s">
        <v>276</v>
      </c>
      <c r="D52" s="49">
        <v>0</v>
      </c>
      <c r="E52" s="49">
        <v>9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9</v>
      </c>
      <c r="L52" s="49">
        <v>0</v>
      </c>
      <c r="M52" s="49">
        <v>0</v>
      </c>
      <c r="N52" s="49">
        <v>0</v>
      </c>
      <c r="O52" s="49">
        <v>0</v>
      </c>
      <c r="P52" s="49">
        <v>9</v>
      </c>
      <c r="Q52" s="49">
        <v>0</v>
      </c>
      <c r="R52" s="49">
        <v>0</v>
      </c>
      <c r="S52" s="49">
        <v>0</v>
      </c>
      <c r="T52" s="49">
        <v>9</v>
      </c>
      <c r="U52" s="57"/>
      <c r="V52" s="199" t="s">
        <v>238</v>
      </c>
      <c r="W52" s="57" t="s">
        <v>239</v>
      </c>
      <c r="X52" s="76">
        <v>9</v>
      </c>
      <c r="Y52" s="86">
        <v>9</v>
      </c>
      <c r="Z52" s="58" t="s">
        <v>251</v>
      </c>
      <c r="AA52" s="58"/>
      <c r="AB52" s="77"/>
      <c r="AC52" s="30"/>
      <c r="AD52" s="70">
        <f t="shared" si="3"/>
        <v>0</v>
      </c>
      <c r="AF52" s="30"/>
      <c r="AH52" s="30"/>
    </row>
    <row r="53" spans="1:34" s="29" customFormat="1" ht="174" customHeight="1" x14ac:dyDescent="0.35">
      <c r="A53" s="97" t="s">
        <v>265</v>
      </c>
      <c r="B53" s="55" t="s">
        <v>264</v>
      </c>
      <c r="C53" s="56" t="s">
        <v>277</v>
      </c>
      <c r="D53" s="49">
        <v>0</v>
      </c>
      <c r="E53" s="49">
        <v>113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113</v>
      </c>
      <c r="L53" s="49">
        <v>0</v>
      </c>
      <c r="M53" s="49">
        <v>0</v>
      </c>
      <c r="N53" s="49">
        <v>0</v>
      </c>
      <c r="O53" s="49">
        <v>0</v>
      </c>
      <c r="P53" s="49">
        <v>86.7</v>
      </c>
      <c r="Q53" s="49">
        <v>0</v>
      </c>
      <c r="R53" s="49">
        <v>0</v>
      </c>
      <c r="S53" s="49">
        <v>0</v>
      </c>
      <c r="T53" s="49">
        <v>86.7</v>
      </c>
      <c r="U53" s="57" t="s">
        <v>463</v>
      </c>
      <c r="V53" s="199" t="s">
        <v>238</v>
      </c>
      <c r="W53" s="57" t="s">
        <v>239</v>
      </c>
      <c r="X53" s="76">
        <v>113</v>
      </c>
      <c r="Y53" s="86">
        <v>119</v>
      </c>
      <c r="Z53" s="58" t="s">
        <v>251</v>
      </c>
      <c r="AA53" s="58"/>
      <c r="AC53" s="30"/>
      <c r="AD53" s="70">
        <f t="shared" si="3"/>
        <v>26.299999999999997</v>
      </c>
      <c r="AF53" s="30"/>
      <c r="AH53" s="30"/>
    </row>
    <row r="54" spans="1:34" s="29" customFormat="1" ht="176.25" customHeight="1" x14ac:dyDescent="0.35">
      <c r="A54" s="97" t="s">
        <v>267</v>
      </c>
      <c r="B54" s="55" t="s">
        <v>268</v>
      </c>
      <c r="C54" s="56" t="s">
        <v>140</v>
      </c>
      <c r="D54" s="49">
        <v>0</v>
      </c>
      <c r="E54" s="49">
        <v>72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72</v>
      </c>
      <c r="L54" s="49">
        <v>0</v>
      </c>
      <c r="M54" s="49">
        <v>0</v>
      </c>
      <c r="N54" s="49">
        <v>0</v>
      </c>
      <c r="O54" s="49">
        <v>0</v>
      </c>
      <c r="P54" s="49">
        <v>72</v>
      </c>
      <c r="Q54" s="49">
        <v>0</v>
      </c>
      <c r="R54" s="49">
        <v>0</v>
      </c>
      <c r="S54" s="49">
        <v>0</v>
      </c>
      <c r="T54" s="49">
        <v>0</v>
      </c>
      <c r="U54" s="57"/>
      <c r="V54" s="199" t="s">
        <v>238</v>
      </c>
      <c r="W54" s="57" t="s">
        <v>239</v>
      </c>
      <c r="X54" s="76">
        <v>72</v>
      </c>
      <c r="Y54" s="86">
        <v>93</v>
      </c>
      <c r="Z54" s="58" t="s">
        <v>251</v>
      </c>
      <c r="AA54" s="58"/>
      <c r="AC54" s="30"/>
      <c r="AD54" s="70">
        <f t="shared" si="3"/>
        <v>0</v>
      </c>
      <c r="AF54" s="30"/>
      <c r="AH54" s="30"/>
    </row>
    <row r="55" spans="1:34" s="29" customFormat="1" ht="186" hidden="1" customHeight="1" x14ac:dyDescent="0.35">
      <c r="A55" s="97" t="s">
        <v>269</v>
      </c>
      <c r="B55" s="55" t="s">
        <v>270</v>
      </c>
      <c r="C55" s="56" t="s">
        <v>278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59"/>
      <c r="V55" s="199" t="s">
        <v>238</v>
      </c>
      <c r="W55" s="57" t="s">
        <v>239</v>
      </c>
      <c r="X55" s="76" t="s">
        <v>10</v>
      </c>
      <c r="Y55" s="86" t="s">
        <v>10</v>
      </c>
      <c r="Z55" s="58" t="s">
        <v>204</v>
      </c>
      <c r="AA55" s="58" t="s">
        <v>137</v>
      </c>
      <c r="AC55" s="30"/>
      <c r="AD55" s="70">
        <f t="shared" si="3"/>
        <v>0</v>
      </c>
      <c r="AF55" s="30"/>
      <c r="AH55" s="30"/>
    </row>
    <row r="56" spans="1:34" s="29" customFormat="1" ht="186.75" hidden="1" customHeight="1" x14ac:dyDescent="0.35">
      <c r="A56" s="97" t="s">
        <v>271</v>
      </c>
      <c r="B56" s="55" t="s">
        <v>272</v>
      </c>
      <c r="C56" s="56" t="s">
        <v>279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  <c r="S56" s="49">
        <v>0</v>
      </c>
      <c r="T56" s="49">
        <v>0</v>
      </c>
      <c r="U56" s="57"/>
      <c r="V56" s="199" t="s">
        <v>238</v>
      </c>
      <c r="W56" s="57" t="s">
        <v>239</v>
      </c>
      <c r="X56" s="76" t="s">
        <v>10</v>
      </c>
      <c r="Y56" s="86" t="s">
        <v>10</v>
      </c>
      <c r="Z56" s="58" t="s">
        <v>204</v>
      </c>
      <c r="AA56" s="58" t="s">
        <v>137</v>
      </c>
      <c r="AC56" s="30"/>
      <c r="AD56" s="70">
        <f t="shared" si="3"/>
        <v>0</v>
      </c>
      <c r="AF56" s="30"/>
      <c r="AH56" s="30"/>
    </row>
    <row r="57" spans="1:34" s="29" customFormat="1" ht="150.75" customHeight="1" x14ac:dyDescent="0.35">
      <c r="A57" s="97" t="s">
        <v>273</v>
      </c>
      <c r="B57" s="55" t="s">
        <v>274</v>
      </c>
      <c r="C57" s="56" t="s">
        <v>384</v>
      </c>
      <c r="D57" s="49">
        <v>0</v>
      </c>
      <c r="E57" s="49">
        <v>418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418</v>
      </c>
      <c r="L57" s="49">
        <v>0</v>
      </c>
      <c r="M57" s="49">
        <v>0</v>
      </c>
      <c r="N57" s="49">
        <v>0</v>
      </c>
      <c r="O57" s="49">
        <v>0</v>
      </c>
      <c r="P57" s="49">
        <v>81.7</v>
      </c>
      <c r="Q57" s="49">
        <v>0</v>
      </c>
      <c r="R57" s="49">
        <v>0</v>
      </c>
      <c r="S57" s="49">
        <v>0</v>
      </c>
      <c r="T57" s="49">
        <v>81.7</v>
      </c>
      <c r="U57" s="155" t="s">
        <v>553</v>
      </c>
      <c r="V57" s="199" t="s">
        <v>238</v>
      </c>
      <c r="W57" s="57" t="s">
        <v>239</v>
      </c>
      <c r="X57" s="76">
        <v>418</v>
      </c>
      <c r="Y57" s="86">
        <v>297</v>
      </c>
      <c r="Z57" s="58" t="s">
        <v>204</v>
      </c>
      <c r="AA57" s="58" t="s">
        <v>464</v>
      </c>
      <c r="AC57" s="30"/>
      <c r="AD57" s="70">
        <f t="shared" si="3"/>
        <v>336.3</v>
      </c>
      <c r="AF57" s="30"/>
      <c r="AH57" s="30"/>
    </row>
    <row r="58" spans="1:34" s="29" customFormat="1" ht="213" customHeight="1" x14ac:dyDescent="0.35">
      <c r="A58" s="97" t="s">
        <v>360</v>
      </c>
      <c r="B58" s="55" t="s">
        <v>359</v>
      </c>
      <c r="C58" s="56" t="s">
        <v>376</v>
      </c>
      <c r="D58" s="49">
        <v>0</v>
      </c>
      <c r="E58" s="49">
        <v>82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82</v>
      </c>
      <c r="L58" s="49"/>
      <c r="M58" s="49">
        <v>0</v>
      </c>
      <c r="N58" s="49">
        <v>0</v>
      </c>
      <c r="O58" s="49">
        <v>0</v>
      </c>
      <c r="P58" s="49">
        <v>64.8</v>
      </c>
      <c r="Q58" s="49">
        <v>0</v>
      </c>
      <c r="R58" s="49">
        <v>0</v>
      </c>
      <c r="S58" s="49">
        <v>0</v>
      </c>
      <c r="T58" s="49">
        <v>64.8</v>
      </c>
      <c r="U58" s="155" t="s">
        <v>573</v>
      </c>
      <c r="V58" s="199" t="s">
        <v>238</v>
      </c>
      <c r="W58" s="57" t="s">
        <v>239</v>
      </c>
      <c r="X58" s="76">
        <v>82</v>
      </c>
      <c r="Y58" s="76">
        <v>81</v>
      </c>
      <c r="Z58" s="58" t="s">
        <v>204</v>
      </c>
      <c r="AA58" s="58" t="s">
        <v>465</v>
      </c>
      <c r="AC58" s="30"/>
      <c r="AD58" s="70">
        <f t="shared" si="3"/>
        <v>17.200000000000003</v>
      </c>
      <c r="AF58" s="30"/>
      <c r="AH58" s="30"/>
    </row>
    <row r="59" spans="1:34" s="29" customFormat="1" ht="127.5" customHeight="1" x14ac:dyDescent="0.35">
      <c r="A59" s="97" t="s">
        <v>363</v>
      </c>
      <c r="B59" s="55" t="s">
        <v>362</v>
      </c>
      <c r="C59" s="56" t="s">
        <v>377</v>
      </c>
      <c r="D59" s="49">
        <v>0</v>
      </c>
      <c r="E59" s="49">
        <v>20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20</v>
      </c>
      <c r="L59" s="49">
        <v>0</v>
      </c>
      <c r="M59" s="49">
        <v>0</v>
      </c>
      <c r="N59" s="49">
        <v>0</v>
      </c>
      <c r="O59" s="49">
        <v>0</v>
      </c>
      <c r="P59" s="49">
        <v>10.5</v>
      </c>
      <c r="Q59" s="49">
        <v>0</v>
      </c>
      <c r="R59" s="49">
        <v>0</v>
      </c>
      <c r="S59" s="49">
        <v>0</v>
      </c>
      <c r="T59" s="49">
        <v>10.5</v>
      </c>
      <c r="U59" s="155" t="s">
        <v>540</v>
      </c>
      <c r="V59" s="199" t="s">
        <v>238</v>
      </c>
      <c r="W59" s="57" t="s">
        <v>239</v>
      </c>
      <c r="X59" s="76">
        <v>20</v>
      </c>
      <c r="Y59" s="86">
        <v>21</v>
      </c>
      <c r="Z59" s="58" t="s">
        <v>251</v>
      </c>
      <c r="AA59" s="58"/>
      <c r="AC59" s="30"/>
      <c r="AD59" s="70">
        <f t="shared" si="3"/>
        <v>9.5</v>
      </c>
      <c r="AF59" s="30"/>
      <c r="AH59" s="30"/>
    </row>
    <row r="60" spans="1:34" s="29" customFormat="1" ht="176.25" customHeight="1" x14ac:dyDescent="0.35">
      <c r="A60" s="97" t="s">
        <v>366</v>
      </c>
      <c r="B60" s="55" t="s">
        <v>365</v>
      </c>
      <c r="C60" s="56" t="s">
        <v>378</v>
      </c>
      <c r="D60" s="49">
        <v>0</v>
      </c>
      <c r="E60" s="49">
        <v>50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50</v>
      </c>
      <c r="L60" s="49">
        <v>0</v>
      </c>
      <c r="M60" s="49">
        <v>0</v>
      </c>
      <c r="N60" s="49">
        <v>0</v>
      </c>
      <c r="O60" s="49">
        <v>0</v>
      </c>
      <c r="P60" s="49">
        <v>10.6</v>
      </c>
      <c r="Q60" s="49">
        <v>0</v>
      </c>
      <c r="R60" s="49">
        <v>0</v>
      </c>
      <c r="S60" s="49">
        <v>0</v>
      </c>
      <c r="T60" s="49">
        <v>10.6</v>
      </c>
      <c r="U60" s="155" t="s">
        <v>574</v>
      </c>
      <c r="V60" s="199" t="s">
        <v>238</v>
      </c>
      <c r="W60" s="57" t="s">
        <v>239</v>
      </c>
      <c r="X60" s="76">
        <v>50</v>
      </c>
      <c r="Y60" s="76">
        <v>48</v>
      </c>
      <c r="Z60" s="58" t="s">
        <v>204</v>
      </c>
      <c r="AA60" s="58" t="s">
        <v>466</v>
      </c>
      <c r="AC60" s="30"/>
      <c r="AD60" s="70">
        <f t="shared" si="3"/>
        <v>39.4</v>
      </c>
      <c r="AF60" s="30"/>
      <c r="AH60" s="30"/>
    </row>
    <row r="61" spans="1:34" s="29" customFormat="1" ht="170.25" customHeight="1" x14ac:dyDescent="0.35">
      <c r="A61" s="97" t="s">
        <v>368</v>
      </c>
      <c r="B61" s="55" t="s">
        <v>369</v>
      </c>
      <c r="C61" s="56" t="s">
        <v>370</v>
      </c>
      <c r="D61" s="49">
        <v>0</v>
      </c>
      <c r="E61" s="49">
        <v>17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17</v>
      </c>
      <c r="L61" s="49">
        <v>0</v>
      </c>
      <c r="M61" s="49">
        <v>0</v>
      </c>
      <c r="N61" s="49">
        <v>0</v>
      </c>
      <c r="O61" s="49">
        <v>0</v>
      </c>
      <c r="P61" s="49">
        <v>17</v>
      </c>
      <c r="Q61" s="49">
        <v>0</v>
      </c>
      <c r="R61" s="49">
        <v>0</v>
      </c>
      <c r="S61" s="49">
        <v>0</v>
      </c>
      <c r="T61" s="49">
        <v>17</v>
      </c>
      <c r="U61" s="155"/>
      <c r="V61" s="199" t="s">
        <v>238</v>
      </c>
      <c r="W61" s="57" t="s">
        <v>239</v>
      </c>
      <c r="X61" s="76">
        <v>17</v>
      </c>
      <c r="Y61" s="76">
        <v>17</v>
      </c>
      <c r="Z61" s="58" t="s">
        <v>251</v>
      </c>
      <c r="AA61" s="58"/>
      <c r="AC61" s="30"/>
      <c r="AD61" s="70">
        <f t="shared" si="3"/>
        <v>0</v>
      </c>
      <c r="AF61" s="30"/>
      <c r="AH61" s="30"/>
    </row>
    <row r="62" spans="1:34" s="29" customFormat="1" ht="123.75" customHeight="1" x14ac:dyDescent="0.35">
      <c r="A62" s="97" t="s">
        <v>44</v>
      </c>
      <c r="B62" s="55" t="s">
        <v>65</v>
      </c>
      <c r="C62" s="56" t="s">
        <v>139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59"/>
      <c r="V62" s="199" t="s">
        <v>164</v>
      </c>
      <c r="W62" s="57" t="s">
        <v>137</v>
      </c>
      <c r="X62" s="57" t="s">
        <v>137</v>
      </c>
      <c r="Y62" s="87" t="s">
        <v>467</v>
      </c>
      <c r="Z62" s="58" t="s">
        <v>251</v>
      </c>
      <c r="AA62" s="58"/>
      <c r="AC62" s="30"/>
      <c r="AD62" s="70">
        <f t="shared" si="3"/>
        <v>0</v>
      </c>
      <c r="AF62" s="30"/>
      <c r="AH62" s="30"/>
    </row>
    <row r="63" spans="1:34" s="29" customFormat="1" ht="213" customHeight="1" x14ac:dyDescent="0.35">
      <c r="A63" s="97" t="s">
        <v>46</v>
      </c>
      <c r="B63" s="55" t="s">
        <v>66</v>
      </c>
      <c r="C63" s="56" t="s">
        <v>139</v>
      </c>
      <c r="D63" s="49">
        <v>0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v>0</v>
      </c>
      <c r="P63" s="49">
        <v>0</v>
      </c>
      <c r="Q63" s="49">
        <v>0</v>
      </c>
      <c r="R63" s="49">
        <v>0</v>
      </c>
      <c r="S63" s="49">
        <v>0</v>
      </c>
      <c r="T63" s="49">
        <v>0</v>
      </c>
      <c r="U63" s="59"/>
      <c r="V63" s="199" t="s">
        <v>209</v>
      </c>
      <c r="W63" s="86" t="s">
        <v>165</v>
      </c>
      <c r="X63" s="86">
        <v>301541.90000000002</v>
      </c>
      <c r="Y63" s="180">
        <v>360786</v>
      </c>
      <c r="Z63" s="58" t="s">
        <v>251</v>
      </c>
      <c r="AA63" s="58"/>
      <c r="AC63" s="30"/>
      <c r="AD63" s="70">
        <f t="shared" si="3"/>
        <v>0</v>
      </c>
      <c r="AF63" s="30"/>
      <c r="AH63" s="30"/>
    </row>
    <row r="64" spans="1:34" s="29" customFormat="1" ht="172.5" customHeight="1" x14ac:dyDescent="0.35">
      <c r="A64" s="97" t="s">
        <v>48</v>
      </c>
      <c r="B64" s="55" t="s">
        <v>67</v>
      </c>
      <c r="C64" s="56" t="s">
        <v>139</v>
      </c>
      <c r="D64" s="49">
        <v>0</v>
      </c>
      <c r="E64" s="49">
        <v>0</v>
      </c>
      <c r="F64" s="49">
        <v>0</v>
      </c>
      <c r="G64" s="49">
        <v>0</v>
      </c>
      <c r="H64" s="49">
        <v>301541.90000000002</v>
      </c>
      <c r="I64" s="49">
        <v>0</v>
      </c>
      <c r="J64" s="49">
        <v>0</v>
      </c>
      <c r="K64" s="49">
        <v>0</v>
      </c>
      <c r="L64" s="49">
        <v>0</v>
      </c>
      <c r="M64" s="49">
        <v>360786</v>
      </c>
      <c r="N64" s="49">
        <v>0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49">
        <v>0</v>
      </c>
      <c r="U64" s="199"/>
      <c r="V64" s="199" t="s">
        <v>166</v>
      </c>
      <c r="W64" s="57" t="s">
        <v>95</v>
      </c>
      <c r="X64" s="57" t="s">
        <v>339</v>
      </c>
      <c r="Y64" s="177" t="s">
        <v>558</v>
      </c>
      <c r="Z64" s="58" t="s">
        <v>251</v>
      </c>
      <c r="AA64" s="58"/>
      <c r="AC64" s="30"/>
      <c r="AD64" s="70">
        <f t="shared" si="3"/>
        <v>0</v>
      </c>
      <c r="AF64" s="30"/>
      <c r="AH64" s="30"/>
    </row>
    <row r="65" spans="1:34" s="29" customFormat="1" ht="95.25" customHeight="1" x14ac:dyDescent="0.35">
      <c r="A65" s="97" t="s">
        <v>50</v>
      </c>
      <c r="B65" s="55" t="s">
        <v>68</v>
      </c>
      <c r="C65" s="56" t="s">
        <v>139</v>
      </c>
      <c r="D65" s="49">
        <v>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  <c r="T65" s="49">
        <v>0</v>
      </c>
      <c r="U65" s="59"/>
      <c r="V65" s="199" t="s">
        <v>167</v>
      </c>
      <c r="W65" s="57" t="s">
        <v>163</v>
      </c>
      <c r="X65" s="76">
        <v>4</v>
      </c>
      <c r="Y65" s="86">
        <v>4</v>
      </c>
      <c r="Z65" s="58" t="s">
        <v>251</v>
      </c>
      <c r="AA65" s="58"/>
      <c r="AC65" s="30"/>
      <c r="AD65" s="70">
        <f t="shared" si="3"/>
        <v>0</v>
      </c>
      <c r="AF65" s="30"/>
      <c r="AH65" s="30"/>
    </row>
    <row r="66" spans="1:34" s="29" customFormat="1" ht="180" customHeight="1" x14ac:dyDescent="0.35">
      <c r="A66" s="97" t="s">
        <v>52</v>
      </c>
      <c r="B66" s="55" t="s">
        <v>69</v>
      </c>
      <c r="C66" s="56" t="s">
        <v>139</v>
      </c>
      <c r="D66" s="49">
        <v>0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  <c r="O66" s="49">
        <v>0</v>
      </c>
      <c r="P66" s="49">
        <v>0</v>
      </c>
      <c r="Q66" s="49">
        <v>0</v>
      </c>
      <c r="R66" s="49">
        <v>0</v>
      </c>
      <c r="S66" s="49">
        <v>0</v>
      </c>
      <c r="T66" s="49">
        <v>0</v>
      </c>
      <c r="U66" s="59"/>
      <c r="V66" s="199" t="s">
        <v>168</v>
      </c>
      <c r="W66" s="57" t="s">
        <v>137</v>
      </c>
      <c r="X66" s="57" t="s">
        <v>137</v>
      </c>
      <c r="Y66" s="86" t="s">
        <v>380</v>
      </c>
      <c r="Z66" s="58" t="s">
        <v>251</v>
      </c>
      <c r="AA66" s="58"/>
      <c r="AC66" s="30"/>
      <c r="AD66" s="70">
        <f t="shared" si="3"/>
        <v>0</v>
      </c>
      <c r="AF66" s="30"/>
      <c r="AH66" s="30"/>
    </row>
    <row r="67" spans="1:34" s="29" customFormat="1" ht="86.25" customHeight="1" x14ac:dyDescent="0.35">
      <c r="A67" s="97" t="s">
        <v>53</v>
      </c>
      <c r="B67" s="55" t="s">
        <v>253</v>
      </c>
      <c r="C67" s="56"/>
      <c r="D67" s="49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  <c r="P67" s="49">
        <v>0</v>
      </c>
      <c r="Q67" s="49">
        <v>0</v>
      </c>
      <c r="R67" s="49">
        <v>0</v>
      </c>
      <c r="S67" s="49">
        <v>0</v>
      </c>
      <c r="T67" s="49">
        <v>0</v>
      </c>
      <c r="U67" s="59"/>
      <c r="V67" s="199" t="s">
        <v>340</v>
      </c>
      <c r="W67" s="57" t="s">
        <v>95</v>
      </c>
      <c r="X67" s="156" t="s">
        <v>339</v>
      </c>
      <c r="Y67" s="178" t="s">
        <v>559</v>
      </c>
      <c r="Z67" s="58" t="s">
        <v>251</v>
      </c>
      <c r="AA67" s="58"/>
      <c r="AC67" s="30"/>
      <c r="AD67" s="70">
        <f t="shared" si="3"/>
        <v>0</v>
      </c>
      <c r="AF67" s="30"/>
      <c r="AH67" s="30"/>
    </row>
    <row r="68" spans="1:34" s="29" customFormat="1" ht="233.25" customHeight="1" x14ac:dyDescent="0.35">
      <c r="A68" s="97" t="s">
        <v>70</v>
      </c>
      <c r="B68" s="55" t="s">
        <v>71</v>
      </c>
      <c r="C68" s="56" t="s">
        <v>139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59"/>
      <c r="V68" s="199" t="s">
        <v>169</v>
      </c>
      <c r="W68" s="57" t="s">
        <v>170</v>
      </c>
      <c r="X68" s="57">
        <v>45000</v>
      </c>
      <c r="Y68" s="56">
        <v>45078</v>
      </c>
      <c r="Z68" s="58" t="s">
        <v>468</v>
      </c>
      <c r="AA68" s="86"/>
      <c r="AC68" s="30"/>
      <c r="AD68" s="70">
        <f t="shared" si="3"/>
        <v>0</v>
      </c>
      <c r="AF68" s="30"/>
      <c r="AH68" s="30"/>
    </row>
    <row r="69" spans="1:34" s="29" customFormat="1" ht="112.5" customHeight="1" x14ac:dyDescent="0.35">
      <c r="A69" s="97" t="s">
        <v>72</v>
      </c>
      <c r="B69" s="55" t="s">
        <v>73</v>
      </c>
      <c r="C69" s="56" t="s">
        <v>139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59"/>
      <c r="V69" s="199" t="s">
        <v>350</v>
      </c>
      <c r="W69" s="57" t="s">
        <v>351</v>
      </c>
      <c r="X69" s="57">
        <v>1</v>
      </c>
      <c r="Y69" s="56" t="s">
        <v>137</v>
      </c>
      <c r="Z69" s="58" t="s">
        <v>252</v>
      </c>
      <c r="AA69" s="58" t="s">
        <v>541</v>
      </c>
      <c r="AC69" s="30"/>
      <c r="AD69" s="70">
        <f t="shared" si="3"/>
        <v>0</v>
      </c>
      <c r="AF69" s="30"/>
      <c r="AH69" s="30"/>
    </row>
    <row r="70" spans="1:34" s="29" customFormat="1" ht="130.5" customHeight="1" x14ac:dyDescent="0.35">
      <c r="A70" s="97" t="s">
        <v>245</v>
      </c>
      <c r="B70" s="55" t="s">
        <v>254</v>
      </c>
      <c r="C70" s="56" t="s">
        <v>139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>
        <v>0</v>
      </c>
      <c r="P70" s="49">
        <v>0</v>
      </c>
      <c r="Q70" s="49">
        <v>0</v>
      </c>
      <c r="R70" s="49">
        <v>0</v>
      </c>
      <c r="S70" s="49">
        <v>0</v>
      </c>
      <c r="T70" s="49">
        <v>0</v>
      </c>
      <c r="U70" s="59"/>
      <c r="V70" s="199" t="s">
        <v>249</v>
      </c>
      <c r="W70" s="57" t="s">
        <v>163</v>
      </c>
      <c r="X70" s="57">
        <v>5</v>
      </c>
      <c r="Y70" s="56">
        <v>21</v>
      </c>
      <c r="Z70" s="58" t="s">
        <v>251</v>
      </c>
      <c r="AA70" s="58"/>
      <c r="AC70" s="30"/>
      <c r="AD70" s="70">
        <f t="shared" si="3"/>
        <v>0</v>
      </c>
      <c r="AF70" s="30"/>
      <c r="AH70" s="30"/>
    </row>
    <row r="71" spans="1:34" s="29" customFormat="1" ht="300" x14ac:dyDescent="0.35">
      <c r="A71" s="97" t="s">
        <v>74</v>
      </c>
      <c r="B71" s="55" t="s">
        <v>75</v>
      </c>
      <c r="C71" s="56" t="s">
        <v>139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49">
        <v>0</v>
      </c>
      <c r="P71" s="49">
        <v>0</v>
      </c>
      <c r="Q71" s="49">
        <v>0</v>
      </c>
      <c r="R71" s="49">
        <v>0</v>
      </c>
      <c r="S71" s="49">
        <v>0</v>
      </c>
      <c r="T71" s="49">
        <v>0</v>
      </c>
      <c r="U71" s="59"/>
      <c r="V71" s="199" t="s">
        <v>171</v>
      </c>
      <c r="W71" s="57" t="s">
        <v>137</v>
      </c>
      <c r="X71" s="57" t="s">
        <v>137</v>
      </c>
      <c r="Y71" s="179" t="s">
        <v>469</v>
      </c>
      <c r="Z71" s="58" t="s">
        <v>251</v>
      </c>
      <c r="AA71" s="86"/>
      <c r="AC71" s="30"/>
      <c r="AD71" s="70">
        <f t="shared" si="3"/>
        <v>0</v>
      </c>
      <c r="AF71" s="30"/>
      <c r="AH71" s="30"/>
    </row>
    <row r="72" spans="1:34" s="29" customFormat="1" ht="82.5" customHeight="1" x14ac:dyDescent="0.35">
      <c r="A72" s="97" t="s">
        <v>76</v>
      </c>
      <c r="B72" s="55" t="s">
        <v>77</v>
      </c>
      <c r="C72" s="56" t="s">
        <v>139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49">
        <v>0</v>
      </c>
      <c r="U72" s="59"/>
      <c r="V72" s="199" t="s">
        <v>172</v>
      </c>
      <c r="W72" s="57" t="s">
        <v>163</v>
      </c>
      <c r="X72" s="76">
        <v>4</v>
      </c>
      <c r="Y72" s="86">
        <v>4</v>
      </c>
      <c r="Z72" s="58" t="s">
        <v>251</v>
      </c>
      <c r="AA72" s="58"/>
      <c r="AC72" s="30"/>
      <c r="AD72" s="70">
        <f t="shared" si="3"/>
        <v>0</v>
      </c>
      <c r="AF72" s="30"/>
      <c r="AH72" s="30"/>
    </row>
    <row r="73" spans="1:34" s="29" customFormat="1" ht="102" customHeight="1" x14ac:dyDescent="0.35">
      <c r="A73" s="97" t="s">
        <v>78</v>
      </c>
      <c r="B73" s="55" t="s">
        <v>79</v>
      </c>
      <c r="C73" s="56" t="s">
        <v>139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Q73" s="49">
        <v>0</v>
      </c>
      <c r="R73" s="49">
        <v>0</v>
      </c>
      <c r="S73" s="49">
        <v>0</v>
      </c>
      <c r="T73" s="49">
        <v>0</v>
      </c>
      <c r="U73" s="59"/>
      <c r="V73" s="57" t="s">
        <v>173</v>
      </c>
      <c r="W73" s="57" t="s">
        <v>163</v>
      </c>
      <c r="X73" s="76">
        <v>1000</v>
      </c>
      <c r="Y73" s="86">
        <v>1005</v>
      </c>
      <c r="Z73" s="58" t="s">
        <v>251</v>
      </c>
      <c r="AA73" s="58"/>
      <c r="AC73" s="30"/>
      <c r="AD73" s="70">
        <f t="shared" si="3"/>
        <v>0</v>
      </c>
      <c r="AF73" s="30"/>
      <c r="AH73" s="30"/>
    </row>
    <row r="74" spans="1:34" s="29" customFormat="1" ht="252.75" customHeight="1" x14ac:dyDescent="0.35">
      <c r="A74" s="97" t="s">
        <v>255</v>
      </c>
      <c r="B74" s="55" t="s">
        <v>256</v>
      </c>
      <c r="C74" s="56" t="s">
        <v>139</v>
      </c>
      <c r="D74" s="49">
        <v>0</v>
      </c>
      <c r="E74" s="49">
        <v>590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590</v>
      </c>
      <c r="L74" s="49">
        <v>0</v>
      </c>
      <c r="M74" s="49">
        <v>0</v>
      </c>
      <c r="N74" s="49">
        <v>0</v>
      </c>
      <c r="O74" s="49">
        <v>0</v>
      </c>
      <c r="P74" s="49">
        <v>590</v>
      </c>
      <c r="Q74" s="49">
        <v>0</v>
      </c>
      <c r="R74" s="49">
        <v>0</v>
      </c>
      <c r="S74" s="49">
        <v>0</v>
      </c>
      <c r="T74" s="49">
        <v>590</v>
      </c>
      <c r="U74" s="59"/>
      <c r="V74" s="57" t="s">
        <v>250</v>
      </c>
      <c r="W74" s="57" t="s">
        <v>351</v>
      </c>
      <c r="X74" s="57">
        <v>2</v>
      </c>
      <c r="Y74" s="86" t="s">
        <v>438</v>
      </c>
      <c r="Z74" s="58" t="s">
        <v>251</v>
      </c>
      <c r="AA74" s="58"/>
      <c r="AD74" s="70">
        <f t="shared" si="3"/>
        <v>0</v>
      </c>
    </row>
    <row r="75" spans="1:34" s="29" customFormat="1" ht="303" customHeight="1" x14ac:dyDescent="0.35">
      <c r="A75" s="195" t="s">
        <v>518</v>
      </c>
      <c r="B75" s="55" t="s">
        <v>519</v>
      </c>
      <c r="C75" s="56" t="s">
        <v>139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49">
        <v>0</v>
      </c>
      <c r="Q75" s="49">
        <v>0</v>
      </c>
      <c r="R75" s="49">
        <v>0</v>
      </c>
      <c r="S75" s="49">
        <v>0</v>
      </c>
      <c r="T75" s="49">
        <v>0</v>
      </c>
      <c r="U75" s="59" t="s">
        <v>10</v>
      </c>
      <c r="V75" s="57" t="s">
        <v>520</v>
      </c>
      <c r="W75" s="57" t="s">
        <v>137</v>
      </c>
      <c r="X75" s="57" t="s">
        <v>137</v>
      </c>
      <c r="Y75" s="86" t="s">
        <v>524</v>
      </c>
      <c r="Z75" s="58" t="s">
        <v>251</v>
      </c>
      <c r="AA75" s="58"/>
      <c r="AD75" s="70"/>
    </row>
    <row r="76" spans="1:34" ht="296.25" customHeight="1" x14ac:dyDescent="0.35">
      <c r="A76" s="200" t="s">
        <v>521</v>
      </c>
      <c r="B76" s="201" t="s">
        <v>522</v>
      </c>
      <c r="C76" s="56" t="s">
        <v>139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  <c r="O76" s="49">
        <v>0</v>
      </c>
      <c r="P76" s="49">
        <v>0</v>
      </c>
      <c r="Q76" s="49">
        <v>0</v>
      </c>
      <c r="R76" s="49">
        <v>0</v>
      </c>
      <c r="S76" s="49">
        <v>0</v>
      </c>
      <c r="T76" s="49">
        <v>0</v>
      </c>
      <c r="U76" s="59" t="s">
        <v>10</v>
      </c>
      <c r="V76" s="201" t="s">
        <v>523</v>
      </c>
      <c r="W76" s="57" t="s">
        <v>351</v>
      </c>
      <c r="X76" s="57">
        <v>1</v>
      </c>
      <c r="Y76" s="199" t="s">
        <v>525</v>
      </c>
      <c r="Z76" s="202" t="s">
        <v>251</v>
      </c>
      <c r="AA76" s="203"/>
    </row>
    <row r="77" spans="1:34" s="29" customFormat="1" ht="122.25" customHeight="1" x14ac:dyDescent="0.35">
      <c r="A77" s="93"/>
      <c r="B77" s="133" t="s">
        <v>29</v>
      </c>
      <c r="C77" s="165">
        <v>0</v>
      </c>
      <c r="D77" s="82">
        <f>SUM(D78+D79+D81+D80)</f>
        <v>277.39999999999998</v>
      </c>
      <c r="E77" s="82">
        <f t="shared" ref="E77:T77" si="4">SUM(E78+E79+E81+E80)</f>
        <v>87.6</v>
      </c>
      <c r="F77" s="82">
        <f t="shared" si="4"/>
        <v>0</v>
      </c>
      <c r="G77" s="82">
        <f t="shared" si="4"/>
        <v>0</v>
      </c>
      <c r="H77" s="82">
        <f t="shared" si="4"/>
        <v>0</v>
      </c>
      <c r="I77" s="82">
        <f t="shared" si="4"/>
        <v>277.39999999999998</v>
      </c>
      <c r="J77" s="82">
        <f t="shared" si="4"/>
        <v>0</v>
      </c>
      <c r="K77" s="82">
        <f t="shared" si="4"/>
        <v>87.6</v>
      </c>
      <c r="L77" s="82">
        <f t="shared" si="4"/>
        <v>0</v>
      </c>
      <c r="M77" s="82">
        <f t="shared" si="4"/>
        <v>0</v>
      </c>
      <c r="N77" s="82">
        <f t="shared" si="4"/>
        <v>122.7</v>
      </c>
      <c r="O77" s="82">
        <f t="shared" si="4"/>
        <v>0</v>
      </c>
      <c r="P77" s="82">
        <f t="shared" si="4"/>
        <v>38.799999999999997</v>
      </c>
      <c r="Q77" s="82">
        <f t="shared" si="4"/>
        <v>0</v>
      </c>
      <c r="R77" s="82">
        <f t="shared" si="4"/>
        <v>0</v>
      </c>
      <c r="S77" s="82">
        <f t="shared" si="4"/>
        <v>0</v>
      </c>
      <c r="T77" s="82">
        <f t="shared" si="4"/>
        <v>161.5</v>
      </c>
      <c r="U77" s="49"/>
      <c r="V77" s="58"/>
      <c r="W77" s="59"/>
      <c r="X77" s="59"/>
      <c r="Y77" s="59"/>
      <c r="Z77" s="58"/>
      <c r="AA77" s="58"/>
      <c r="AB77" s="29">
        <v>382.6</v>
      </c>
      <c r="AC77" s="30">
        <f>AB77-N77-P77</f>
        <v>221.10000000000002</v>
      </c>
      <c r="AD77" s="70">
        <f t="shared" si="3"/>
        <v>203.5</v>
      </c>
    </row>
    <row r="78" spans="1:34" s="29" customFormat="1" ht="213.75" customHeight="1" x14ac:dyDescent="0.35">
      <c r="A78" s="194" t="s">
        <v>31</v>
      </c>
      <c r="B78" s="138" t="s">
        <v>181</v>
      </c>
      <c r="C78" s="56" t="s">
        <v>139</v>
      </c>
      <c r="D78" s="50">
        <v>39.5</v>
      </c>
      <c r="E78" s="50">
        <v>12.5</v>
      </c>
      <c r="F78" s="50">
        <v>0</v>
      </c>
      <c r="G78" s="50">
        <v>0</v>
      </c>
      <c r="H78" s="50">
        <v>0</v>
      </c>
      <c r="I78" s="50">
        <v>39.5</v>
      </c>
      <c r="J78" s="50">
        <v>0</v>
      </c>
      <c r="K78" s="50">
        <v>12.5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0</v>
      </c>
      <c r="S78" s="49">
        <v>0</v>
      </c>
      <c r="T78" s="50">
        <v>0</v>
      </c>
      <c r="U78" s="58" t="s">
        <v>566</v>
      </c>
      <c r="V78" s="86" t="s">
        <v>459</v>
      </c>
      <c r="W78" s="86" t="s">
        <v>137</v>
      </c>
      <c r="X78" s="86" t="s">
        <v>379</v>
      </c>
      <c r="Y78" s="86">
        <v>0</v>
      </c>
      <c r="Z78" s="58" t="s">
        <v>204</v>
      </c>
      <c r="AA78" s="58" t="s">
        <v>484</v>
      </c>
      <c r="AD78" s="70">
        <f t="shared" si="3"/>
        <v>52</v>
      </c>
    </row>
    <row r="79" spans="1:34" s="29" customFormat="1" ht="144.75" customHeight="1" x14ac:dyDescent="0.35">
      <c r="A79" s="194" t="s">
        <v>182</v>
      </c>
      <c r="B79" s="138" t="s">
        <v>183</v>
      </c>
      <c r="C79" s="56" t="s">
        <v>140</v>
      </c>
      <c r="D79" s="50">
        <v>190</v>
      </c>
      <c r="E79" s="50">
        <v>60</v>
      </c>
      <c r="F79" s="50">
        <v>0</v>
      </c>
      <c r="G79" s="50">
        <v>0</v>
      </c>
      <c r="H79" s="50">
        <v>0</v>
      </c>
      <c r="I79" s="50">
        <v>190</v>
      </c>
      <c r="J79" s="50">
        <v>0</v>
      </c>
      <c r="K79" s="50">
        <v>60</v>
      </c>
      <c r="L79" s="50">
        <v>0</v>
      </c>
      <c r="M79" s="50">
        <v>0</v>
      </c>
      <c r="N79" s="50">
        <v>122.7</v>
      </c>
      <c r="O79" s="50">
        <v>0</v>
      </c>
      <c r="P79" s="49">
        <v>38.799999999999997</v>
      </c>
      <c r="Q79" s="50">
        <v>0</v>
      </c>
      <c r="R79" s="50">
        <v>0</v>
      </c>
      <c r="S79" s="49">
        <v>0</v>
      </c>
      <c r="T79" s="50">
        <v>161.5</v>
      </c>
      <c r="U79" s="57" t="s">
        <v>492</v>
      </c>
      <c r="V79" s="139" t="s">
        <v>257</v>
      </c>
      <c r="W79" s="86" t="s">
        <v>104</v>
      </c>
      <c r="X79" s="87">
        <v>50</v>
      </c>
      <c r="Y79" s="87">
        <v>38</v>
      </c>
      <c r="Z79" s="58" t="s">
        <v>204</v>
      </c>
      <c r="AA79" s="58" t="s">
        <v>479</v>
      </c>
      <c r="AD79" s="70">
        <f t="shared" si="3"/>
        <v>88.5</v>
      </c>
    </row>
    <row r="80" spans="1:34" s="29" customFormat="1" ht="211.5" customHeight="1" x14ac:dyDescent="0.35">
      <c r="A80" s="194" t="s">
        <v>185</v>
      </c>
      <c r="B80" s="138" t="s">
        <v>184</v>
      </c>
      <c r="C80" s="56" t="s">
        <v>139</v>
      </c>
      <c r="D80" s="50">
        <v>9.9</v>
      </c>
      <c r="E80" s="50">
        <v>3.1</v>
      </c>
      <c r="F80" s="50">
        <v>0</v>
      </c>
      <c r="G80" s="50">
        <v>0</v>
      </c>
      <c r="H80" s="50">
        <v>0</v>
      </c>
      <c r="I80" s="50">
        <v>9.9</v>
      </c>
      <c r="J80" s="50">
        <v>0</v>
      </c>
      <c r="K80" s="50">
        <v>3.1</v>
      </c>
      <c r="L80" s="50">
        <v>0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49">
        <v>0</v>
      </c>
      <c r="T80" s="50">
        <v>0</v>
      </c>
      <c r="U80" s="58" t="s">
        <v>567</v>
      </c>
      <c r="V80" s="86" t="s">
        <v>174</v>
      </c>
      <c r="W80" s="86" t="s">
        <v>104</v>
      </c>
      <c r="X80" s="87">
        <v>2</v>
      </c>
      <c r="Y80" s="87">
        <v>0</v>
      </c>
      <c r="Z80" s="58" t="s">
        <v>204</v>
      </c>
      <c r="AA80" s="58" t="s">
        <v>480</v>
      </c>
      <c r="AD80" s="70">
        <f t="shared" si="3"/>
        <v>13</v>
      </c>
    </row>
    <row r="81" spans="1:30" s="17" customFormat="1" ht="156" customHeight="1" x14ac:dyDescent="0.35">
      <c r="A81" s="194" t="s">
        <v>187</v>
      </c>
      <c r="B81" s="138" t="s">
        <v>186</v>
      </c>
      <c r="C81" s="56" t="s">
        <v>139</v>
      </c>
      <c r="D81" s="50">
        <v>38</v>
      </c>
      <c r="E81" s="50">
        <v>12</v>
      </c>
      <c r="F81" s="50">
        <v>0</v>
      </c>
      <c r="G81" s="50">
        <v>0</v>
      </c>
      <c r="H81" s="50">
        <v>0</v>
      </c>
      <c r="I81" s="50">
        <v>38</v>
      </c>
      <c r="J81" s="50">
        <v>0</v>
      </c>
      <c r="K81" s="50">
        <v>12</v>
      </c>
      <c r="L81" s="50">
        <v>0</v>
      </c>
      <c r="M81" s="50">
        <v>0</v>
      </c>
      <c r="N81" s="50">
        <v>0</v>
      </c>
      <c r="O81" s="50">
        <v>0</v>
      </c>
      <c r="P81" s="50">
        <v>0</v>
      </c>
      <c r="Q81" s="50">
        <v>0</v>
      </c>
      <c r="R81" s="50">
        <v>0</v>
      </c>
      <c r="S81" s="49">
        <v>0</v>
      </c>
      <c r="T81" s="50">
        <v>0</v>
      </c>
      <c r="U81" s="57" t="s">
        <v>568</v>
      </c>
      <c r="V81" s="86" t="s">
        <v>352</v>
      </c>
      <c r="W81" s="86" t="s">
        <v>104</v>
      </c>
      <c r="X81" s="87">
        <v>5</v>
      </c>
      <c r="Y81" s="87">
        <v>0</v>
      </c>
      <c r="Z81" s="58" t="s">
        <v>204</v>
      </c>
      <c r="AA81" s="58" t="s">
        <v>481</v>
      </c>
      <c r="AD81" s="70">
        <f t="shared" si="3"/>
        <v>50</v>
      </c>
    </row>
    <row r="82" spans="1:30" ht="96" customHeight="1" x14ac:dyDescent="0.35">
      <c r="A82" s="195" t="s">
        <v>203</v>
      </c>
      <c r="B82" s="140" t="s">
        <v>91</v>
      </c>
      <c r="C82" s="56" t="s">
        <v>139</v>
      </c>
      <c r="D82" s="72">
        <v>0</v>
      </c>
      <c r="E82" s="72">
        <v>0</v>
      </c>
      <c r="F82" s="72">
        <v>0</v>
      </c>
      <c r="G82" s="72">
        <v>0</v>
      </c>
      <c r="H82" s="72">
        <v>0</v>
      </c>
      <c r="I82" s="72">
        <v>0</v>
      </c>
      <c r="J82" s="72">
        <v>0</v>
      </c>
      <c r="K82" s="72">
        <v>0</v>
      </c>
      <c r="L82" s="72">
        <v>0</v>
      </c>
      <c r="M82" s="72">
        <v>0</v>
      </c>
      <c r="N82" s="72">
        <v>0</v>
      </c>
      <c r="O82" s="72">
        <v>0</v>
      </c>
      <c r="P82" s="72">
        <v>0</v>
      </c>
      <c r="Q82" s="72">
        <v>0</v>
      </c>
      <c r="R82" s="72">
        <v>0</v>
      </c>
      <c r="S82" s="49">
        <v>0</v>
      </c>
      <c r="T82" s="72">
        <v>0</v>
      </c>
      <c r="U82" s="59"/>
      <c r="V82" s="86" t="s">
        <v>206</v>
      </c>
      <c r="W82" s="86" t="s">
        <v>104</v>
      </c>
      <c r="X82" s="87">
        <v>350</v>
      </c>
      <c r="Y82" s="87">
        <v>56</v>
      </c>
      <c r="Z82" s="58" t="s">
        <v>204</v>
      </c>
      <c r="AA82" s="58" t="s">
        <v>482</v>
      </c>
      <c r="AD82" s="70">
        <f t="shared" si="3"/>
        <v>0</v>
      </c>
    </row>
    <row r="83" spans="1:30" ht="51" customHeight="1" x14ac:dyDescent="0.35">
      <c r="A83" s="214" t="s">
        <v>544</v>
      </c>
      <c r="B83" s="214"/>
      <c r="C83" s="214"/>
      <c r="D83" s="214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  <c r="R83" s="214"/>
      <c r="S83" s="214"/>
      <c r="T83" s="214"/>
      <c r="U83" s="214"/>
      <c r="V83" s="214"/>
      <c r="W83" s="214"/>
      <c r="X83" s="214"/>
      <c r="Y83" s="214"/>
      <c r="Z83" s="214"/>
      <c r="AA83" s="214"/>
    </row>
    <row r="84" spans="1:30" ht="21" customHeight="1" x14ac:dyDescent="0.35">
      <c r="A84" s="216"/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/>
      <c r="V84" s="216"/>
      <c r="W84" s="216"/>
      <c r="X84" s="216"/>
      <c r="Y84" s="216"/>
      <c r="Z84" s="216"/>
      <c r="AA84" s="216"/>
    </row>
    <row r="85" spans="1:30" ht="14.25" hidden="1" customHeight="1" x14ac:dyDescent="0.35">
      <c r="A85" s="216"/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  <c r="R85" s="216"/>
      <c r="S85" s="216"/>
      <c r="T85" s="216"/>
      <c r="U85" s="216"/>
      <c r="V85" s="216"/>
      <c r="W85" s="216"/>
      <c r="X85" s="216"/>
      <c r="Y85" s="216"/>
      <c r="Z85" s="216"/>
      <c r="AA85" s="216"/>
    </row>
    <row r="86" spans="1:30" s="31" customFormat="1" ht="15.75" hidden="1" customHeight="1" x14ac:dyDescent="0.35">
      <c r="A86" s="216"/>
      <c r="B86" s="216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  <c r="R86" s="216"/>
      <c r="S86" s="216"/>
      <c r="T86" s="216"/>
      <c r="U86" s="216"/>
      <c r="V86" s="216"/>
      <c r="W86" s="216"/>
      <c r="X86" s="216"/>
      <c r="Y86" s="216"/>
      <c r="Z86" s="216"/>
      <c r="AA86" s="216"/>
      <c r="AD86" s="71"/>
    </row>
    <row r="87" spans="1:30" s="31" customFormat="1" ht="15.75" hidden="1" customHeight="1" x14ac:dyDescent="0.35">
      <c r="A87" s="216"/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  <c r="S87" s="216"/>
      <c r="T87" s="216"/>
      <c r="U87" s="216"/>
      <c r="V87" s="216"/>
      <c r="W87" s="216"/>
      <c r="X87" s="216"/>
      <c r="Y87" s="216"/>
      <c r="Z87" s="216"/>
      <c r="AA87" s="216"/>
      <c r="AD87" s="71"/>
    </row>
    <row r="88" spans="1:30" s="31" customFormat="1" ht="15.75" hidden="1" customHeight="1" x14ac:dyDescent="0.35">
      <c r="A88" s="216"/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V88" s="216"/>
      <c r="W88" s="216"/>
      <c r="X88" s="216"/>
      <c r="Y88" s="216"/>
      <c r="Z88" s="216"/>
      <c r="AA88" s="216"/>
      <c r="AD88" s="71"/>
    </row>
    <row r="89" spans="1:30" s="31" customFormat="1" ht="15.75" hidden="1" customHeight="1" x14ac:dyDescent="0.35">
      <c r="A89" s="216"/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W89" s="216"/>
      <c r="X89" s="216"/>
      <c r="Y89" s="216"/>
      <c r="Z89" s="216"/>
      <c r="AA89" s="216"/>
      <c r="AD89" s="71"/>
    </row>
    <row r="90" spans="1:30" s="31" customFormat="1" ht="16.5" hidden="1" customHeight="1" x14ac:dyDescent="0.35">
      <c r="A90" s="216"/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  <c r="S90" s="216"/>
      <c r="T90" s="216"/>
      <c r="U90" s="216"/>
      <c r="V90" s="216"/>
      <c r="W90" s="216"/>
      <c r="X90" s="216"/>
      <c r="Y90" s="216"/>
      <c r="Z90" s="216"/>
      <c r="AA90" s="216"/>
      <c r="AD90" s="71"/>
    </row>
    <row r="91" spans="1:30" ht="18" hidden="1" customHeight="1" x14ac:dyDescent="0.35">
      <c r="A91" s="216"/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  <c r="S91" s="216"/>
      <c r="T91" s="216"/>
      <c r="U91" s="216"/>
      <c r="V91" s="216"/>
      <c r="W91" s="216"/>
      <c r="X91" s="216"/>
      <c r="Y91" s="216"/>
      <c r="Z91" s="216"/>
      <c r="AA91" s="216"/>
    </row>
    <row r="92" spans="1:30" ht="56.25" customHeight="1" x14ac:dyDescent="0.35">
      <c r="A92" s="217" t="s">
        <v>556</v>
      </c>
      <c r="B92" s="217"/>
      <c r="C92" s="217"/>
      <c r="D92" s="217"/>
      <c r="E92" s="217"/>
      <c r="F92" s="217"/>
      <c r="G92" s="78"/>
      <c r="H92" s="84"/>
      <c r="I92" s="84"/>
      <c r="J92" s="85"/>
      <c r="K92" s="85"/>
      <c r="L92" s="85"/>
      <c r="M92" s="78"/>
      <c r="N92" s="78"/>
      <c r="O92" s="78"/>
      <c r="P92" s="78"/>
      <c r="Q92" s="78"/>
      <c r="R92" s="78"/>
      <c r="S92" s="196"/>
      <c r="T92" s="196"/>
      <c r="U92" s="196"/>
      <c r="V92" s="196"/>
      <c r="W92" s="196"/>
      <c r="X92" s="196"/>
      <c r="Y92" s="96"/>
      <c r="Z92" s="96"/>
      <c r="AA92" s="204" t="s">
        <v>557</v>
      </c>
    </row>
    <row r="93" spans="1:30" ht="17.25" customHeight="1" x14ac:dyDescent="0.35">
      <c r="A93" s="78"/>
      <c r="B93" s="84"/>
      <c r="C93" s="84"/>
      <c r="D93" s="84"/>
      <c r="E93" s="78"/>
      <c r="F93" s="78"/>
      <c r="G93" s="78"/>
      <c r="H93" s="85"/>
      <c r="I93" s="85"/>
      <c r="J93" s="78"/>
      <c r="K93" s="78"/>
      <c r="L93" s="78"/>
      <c r="M93" s="78"/>
      <c r="N93" s="78"/>
      <c r="O93" s="78"/>
      <c r="P93" s="78"/>
      <c r="Q93" s="78"/>
      <c r="R93" s="78"/>
      <c r="S93" s="196"/>
      <c r="T93" s="78"/>
      <c r="U93" s="196"/>
      <c r="V93" s="196"/>
      <c r="W93" s="196"/>
      <c r="X93" s="196"/>
      <c r="Y93" s="215"/>
      <c r="Z93" s="215"/>
      <c r="AA93" s="215"/>
    </row>
    <row r="94" spans="1:30" ht="53.25" customHeight="1" x14ac:dyDescent="0.35">
      <c r="A94" s="23" t="s">
        <v>381</v>
      </c>
      <c r="B94" s="127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</row>
    <row r="95" spans="1:30" ht="16.149999999999999" customHeight="1" x14ac:dyDescent="0.35">
      <c r="A95" s="150" t="s">
        <v>382</v>
      </c>
      <c r="B95" s="127"/>
    </row>
    <row r="96" spans="1:30" ht="16.149999999999999" customHeight="1" x14ac:dyDescent="0.35">
      <c r="A96" s="46"/>
    </row>
    <row r="97" spans="1:1" x14ac:dyDescent="0.35">
      <c r="A97" s="35"/>
    </row>
  </sheetData>
  <autoFilter ref="A11:AH82"/>
  <mergeCells count="29">
    <mergeCell ref="A83:AA83"/>
    <mergeCell ref="Y93:AA93"/>
    <mergeCell ref="A84:AA84"/>
    <mergeCell ref="A85:AA85"/>
    <mergeCell ref="A86:AA86"/>
    <mergeCell ref="A87:AA87"/>
    <mergeCell ref="A88:AA88"/>
    <mergeCell ref="A92:F92"/>
    <mergeCell ref="A89:AA89"/>
    <mergeCell ref="A90:AA90"/>
    <mergeCell ref="A91:AA91"/>
    <mergeCell ref="A1:AA1"/>
    <mergeCell ref="A2:AA2"/>
    <mergeCell ref="A3:AA3"/>
    <mergeCell ref="A4:AA4"/>
    <mergeCell ref="A5:AA5"/>
    <mergeCell ref="A6:AA6"/>
    <mergeCell ref="AA8:AA10"/>
    <mergeCell ref="I9:L9"/>
    <mergeCell ref="U8:U10"/>
    <mergeCell ref="Z8:Z10"/>
    <mergeCell ref="B8:B10"/>
    <mergeCell ref="C8:C10"/>
    <mergeCell ref="I8:M8"/>
    <mergeCell ref="D8:H9"/>
    <mergeCell ref="N8:S9"/>
    <mergeCell ref="V8:Y9"/>
    <mergeCell ref="A8:A10"/>
    <mergeCell ref="T8:T10"/>
  </mergeCells>
  <printOptions horizontalCentered="1"/>
  <pageMargins left="0.59055118110236227" right="0.39370078740157483" top="0.78740157480314965" bottom="0.39370078740157483" header="0.31496062992125984" footer="0.31496062992125984"/>
  <pageSetup paperSize="9" scale="44" fitToHeight="0" orientation="landscape" r:id="rId1"/>
  <rowBreaks count="8" manualBreakCount="8">
    <brk id="17" max="26" man="1"/>
    <brk id="24" max="26" man="1"/>
    <brk id="29" max="26" man="1"/>
    <brk id="33" max="26" man="1"/>
    <brk id="37" max="26" man="1"/>
    <brk id="40" max="26" man="1"/>
    <brk id="44" max="26" man="1"/>
    <brk id="49" max="26" man="1"/>
  </rowBreaks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view="pageBreakPreview" topLeftCell="A50" zoomScale="70" zoomScaleNormal="100" zoomScaleSheetLayoutView="70" workbookViewId="0">
      <selection activeCell="P52" sqref="P52"/>
    </sheetView>
  </sheetViews>
  <sheetFormatPr defaultRowHeight="15" x14ac:dyDescent="0.25"/>
  <cols>
    <col min="1" max="1" width="10.85546875" customWidth="1"/>
    <col min="2" max="2" width="69.5703125" customWidth="1"/>
    <col min="3" max="3" width="9.5703125" customWidth="1"/>
    <col min="4" max="4" width="15.85546875" customWidth="1"/>
    <col min="6" max="6" width="17.7109375" customWidth="1"/>
    <col min="7" max="7" width="30.85546875" customWidth="1"/>
  </cols>
  <sheetData>
    <row r="1" spans="1:7" ht="15.75" x14ac:dyDescent="0.25">
      <c r="A1" s="212" t="s">
        <v>6</v>
      </c>
      <c r="B1" s="212"/>
      <c r="C1" s="212"/>
      <c r="D1" s="212"/>
      <c r="E1" s="212"/>
      <c r="F1" s="212"/>
      <c r="G1" s="212"/>
    </row>
    <row r="2" spans="1:7" ht="15.75" x14ac:dyDescent="0.25">
      <c r="A2" s="212" t="s">
        <v>8</v>
      </c>
      <c r="B2" s="212"/>
      <c r="C2" s="212"/>
      <c r="D2" s="212"/>
      <c r="E2" s="212"/>
      <c r="F2" s="212"/>
      <c r="G2" s="212"/>
    </row>
    <row r="3" spans="1:7" ht="15.75" x14ac:dyDescent="0.25">
      <c r="A3" s="212" t="s">
        <v>136</v>
      </c>
      <c r="B3" s="212"/>
      <c r="C3" s="212"/>
      <c r="D3" s="212"/>
      <c r="E3" s="212"/>
      <c r="F3" s="212"/>
      <c r="G3" s="212"/>
    </row>
    <row r="4" spans="1:7" x14ac:dyDescent="0.25">
      <c r="A4" s="213" t="s">
        <v>4</v>
      </c>
      <c r="B4" s="213"/>
      <c r="C4" s="213"/>
      <c r="D4" s="213"/>
      <c r="E4" s="213"/>
      <c r="F4" s="213"/>
      <c r="G4" s="213"/>
    </row>
    <row r="5" spans="1:7" x14ac:dyDescent="0.25">
      <c r="A5" s="232" t="s">
        <v>452</v>
      </c>
      <c r="B5" s="232"/>
      <c r="C5" s="232"/>
      <c r="D5" s="232"/>
      <c r="E5" s="232"/>
      <c r="F5" s="232"/>
      <c r="G5" s="232"/>
    </row>
    <row r="6" spans="1:7" x14ac:dyDescent="0.25">
      <c r="A6" s="231"/>
      <c r="B6" s="231"/>
      <c r="C6" s="231"/>
      <c r="D6" s="231"/>
      <c r="E6" s="231"/>
      <c r="F6" s="231"/>
      <c r="G6" s="231"/>
    </row>
    <row r="7" spans="1:7" ht="15.75" x14ac:dyDescent="0.25">
      <c r="A7" s="43"/>
      <c r="B7" s="53"/>
      <c r="C7" s="43"/>
      <c r="D7" s="43"/>
      <c r="E7" s="43"/>
      <c r="F7" s="23"/>
      <c r="G7" s="17"/>
    </row>
    <row r="8" spans="1:7" x14ac:dyDescent="0.25">
      <c r="A8" s="228" t="s">
        <v>210</v>
      </c>
      <c r="B8" s="229" t="s">
        <v>9</v>
      </c>
      <c r="C8" s="229" t="s">
        <v>5</v>
      </c>
      <c r="D8" s="230" t="s">
        <v>25</v>
      </c>
      <c r="E8" s="230"/>
      <c r="F8" s="230"/>
      <c r="G8" s="229" t="s">
        <v>397</v>
      </c>
    </row>
    <row r="9" spans="1:7" ht="25.5" x14ac:dyDescent="0.25">
      <c r="A9" s="228"/>
      <c r="B9" s="229"/>
      <c r="C9" s="229"/>
      <c r="D9" s="64" t="s">
        <v>443</v>
      </c>
      <c r="E9" s="229" t="s">
        <v>26</v>
      </c>
      <c r="F9" s="229"/>
      <c r="G9" s="229"/>
    </row>
    <row r="10" spans="1:7" x14ac:dyDescent="0.25">
      <c r="A10" s="228"/>
      <c r="B10" s="229"/>
      <c r="C10" s="229"/>
      <c r="D10" s="64" t="s">
        <v>13</v>
      </c>
      <c r="E10" s="64" t="s">
        <v>12</v>
      </c>
      <c r="F10" s="75" t="s">
        <v>13</v>
      </c>
      <c r="G10" s="229"/>
    </row>
    <row r="11" spans="1:7" x14ac:dyDescent="0.25">
      <c r="A11" s="64">
        <v>1</v>
      </c>
      <c r="B11" s="64">
        <v>2</v>
      </c>
      <c r="C11" s="64">
        <v>3</v>
      </c>
      <c r="D11" s="64">
        <v>4</v>
      </c>
      <c r="E11" s="64">
        <v>5</v>
      </c>
      <c r="F11" s="75">
        <v>6</v>
      </c>
      <c r="G11" s="64">
        <v>7</v>
      </c>
    </row>
    <row r="12" spans="1:7" ht="31.5" x14ac:dyDescent="0.25">
      <c r="A12" s="32"/>
      <c r="B12" s="33" t="s">
        <v>92</v>
      </c>
      <c r="C12" s="36"/>
      <c r="D12" s="64"/>
      <c r="E12" s="36"/>
      <c r="F12" s="75"/>
      <c r="G12" s="64"/>
    </row>
    <row r="13" spans="1:7" ht="60.75" customHeight="1" x14ac:dyDescent="0.25">
      <c r="A13" s="160" t="s">
        <v>93</v>
      </c>
      <c r="B13" s="47" t="s">
        <v>94</v>
      </c>
      <c r="C13" s="65" t="s">
        <v>95</v>
      </c>
      <c r="D13" s="65">
        <v>4.8</v>
      </c>
      <c r="E13" s="65">
        <v>5.7</v>
      </c>
      <c r="F13" s="44">
        <v>5.7</v>
      </c>
      <c r="G13" s="201"/>
    </row>
    <row r="14" spans="1:7" ht="253.5" customHeight="1" x14ac:dyDescent="0.25">
      <c r="A14" s="160" t="s">
        <v>96</v>
      </c>
      <c r="B14" s="47" t="s">
        <v>97</v>
      </c>
      <c r="C14" s="65" t="s">
        <v>95</v>
      </c>
      <c r="D14" s="65">
        <v>0.6</v>
      </c>
      <c r="E14" s="65">
        <v>0.7</v>
      </c>
      <c r="F14" s="44">
        <v>3</v>
      </c>
      <c r="G14" s="226" t="s">
        <v>542</v>
      </c>
    </row>
    <row r="15" spans="1:7" ht="246.75" customHeight="1" x14ac:dyDescent="0.25">
      <c r="A15" s="160" t="s">
        <v>98</v>
      </c>
      <c r="B15" s="47" t="s">
        <v>99</v>
      </c>
      <c r="C15" s="65" t="s">
        <v>100</v>
      </c>
      <c r="D15" s="65">
        <v>0.5</v>
      </c>
      <c r="E15" s="65">
        <v>0.5</v>
      </c>
      <c r="F15" s="65">
        <v>2.6</v>
      </c>
      <c r="G15" s="227"/>
    </row>
    <row r="16" spans="1:7" ht="193.5" customHeight="1" x14ac:dyDescent="0.25">
      <c r="A16" s="160" t="s">
        <v>101</v>
      </c>
      <c r="B16" s="47" t="s">
        <v>453</v>
      </c>
      <c r="C16" s="65" t="s">
        <v>95</v>
      </c>
      <c r="D16" s="65">
        <v>71.900000000000006</v>
      </c>
      <c r="E16" s="44">
        <v>68.400000000000006</v>
      </c>
      <c r="F16" s="44">
        <v>27.5</v>
      </c>
      <c r="G16" s="64" t="s">
        <v>450</v>
      </c>
    </row>
    <row r="17" spans="1:7" ht="61.5" customHeight="1" x14ac:dyDescent="0.25">
      <c r="A17" s="160" t="s">
        <v>102</v>
      </c>
      <c r="B17" s="61" t="s">
        <v>103</v>
      </c>
      <c r="C17" s="89" t="s">
        <v>104</v>
      </c>
      <c r="D17" s="144">
        <v>42</v>
      </c>
      <c r="E17" s="89">
        <v>68</v>
      </c>
      <c r="F17" s="89">
        <v>32</v>
      </c>
      <c r="G17" s="89" t="s">
        <v>137</v>
      </c>
    </row>
    <row r="18" spans="1:7" ht="168" customHeight="1" x14ac:dyDescent="0.25">
      <c r="A18" s="160" t="s">
        <v>105</v>
      </c>
      <c r="B18" s="61" t="s">
        <v>106</v>
      </c>
      <c r="C18" s="89" t="s">
        <v>95</v>
      </c>
      <c r="D18" s="89">
        <v>95.1</v>
      </c>
      <c r="E18" s="88">
        <v>92.1</v>
      </c>
      <c r="F18" s="89">
        <v>91.8</v>
      </c>
      <c r="G18" s="75" t="s">
        <v>470</v>
      </c>
    </row>
    <row r="19" spans="1:7" ht="40.5" customHeight="1" x14ac:dyDescent="0.25">
      <c r="A19" s="73"/>
      <c r="B19" s="145" t="s">
        <v>34</v>
      </c>
      <c r="C19" s="146"/>
      <c r="D19" s="89"/>
      <c r="E19" s="147"/>
      <c r="F19" s="89"/>
      <c r="G19" s="205"/>
    </row>
    <row r="20" spans="1:7" ht="172.5" customHeight="1" x14ac:dyDescent="0.25">
      <c r="A20" s="60" t="s">
        <v>107</v>
      </c>
      <c r="B20" s="47" t="s">
        <v>108</v>
      </c>
      <c r="C20" s="206" t="s">
        <v>95</v>
      </c>
      <c r="D20" s="206">
        <v>75.599999999999994</v>
      </c>
      <c r="E20" s="44">
        <v>60</v>
      </c>
      <c r="F20" s="88">
        <v>30</v>
      </c>
      <c r="G20" s="168" t="s">
        <v>448</v>
      </c>
    </row>
    <row r="21" spans="1:7" ht="156.75" customHeight="1" x14ac:dyDescent="0.25">
      <c r="A21" s="60" t="s">
        <v>303</v>
      </c>
      <c r="B21" s="47" t="s">
        <v>304</v>
      </c>
      <c r="C21" s="206" t="s">
        <v>95</v>
      </c>
      <c r="D21" s="44">
        <v>12.1</v>
      </c>
      <c r="E21" s="44">
        <v>10</v>
      </c>
      <c r="F21" s="88">
        <v>9.9</v>
      </c>
      <c r="G21" s="168" t="s">
        <v>448</v>
      </c>
    </row>
    <row r="22" spans="1:7" ht="96.75" customHeight="1" x14ac:dyDescent="0.25">
      <c r="A22" s="60" t="s">
        <v>189</v>
      </c>
      <c r="B22" s="47" t="s">
        <v>205</v>
      </c>
      <c r="C22" s="206" t="s">
        <v>95</v>
      </c>
      <c r="D22" s="206">
        <v>12.2</v>
      </c>
      <c r="E22" s="44">
        <v>12</v>
      </c>
      <c r="F22" s="89">
        <v>2.2999999999999998</v>
      </c>
      <c r="G22" s="168" t="s">
        <v>447</v>
      </c>
    </row>
    <row r="23" spans="1:7" ht="176.25" customHeight="1" x14ac:dyDescent="0.25">
      <c r="A23" s="60" t="s">
        <v>190</v>
      </c>
      <c r="B23" s="47" t="s">
        <v>197</v>
      </c>
      <c r="C23" s="206" t="s">
        <v>95</v>
      </c>
      <c r="D23" s="206">
        <v>3.8</v>
      </c>
      <c r="E23" s="44">
        <v>3</v>
      </c>
      <c r="F23" s="88">
        <v>1.4</v>
      </c>
      <c r="G23" s="168" t="s">
        <v>449</v>
      </c>
    </row>
    <row r="24" spans="1:7" ht="157.5" customHeight="1" x14ac:dyDescent="0.25">
      <c r="A24" s="60" t="s">
        <v>191</v>
      </c>
      <c r="B24" s="47" t="s">
        <v>198</v>
      </c>
      <c r="C24" s="206" t="s">
        <v>95</v>
      </c>
      <c r="D24" s="44">
        <v>2.9</v>
      </c>
      <c r="E24" s="44">
        <v>2</v>
      </c>
      <c r="F24" s="88">
        <v>0.4</v>
      </c>
      <c r="G24" s="168" t="s">
        <v>448</v>
      </c>
    </row>
    <row r="25" spans="1:7" ht="90.75" customHeight="1" x14ac:dyDescent="0.25">
      <c r="A25" s="60" t="s">
        <v>192</v>
      </c>
      <c r="B25" s="47" t="s">
        <v>202</v>
      </c>
      <c r="C25" s="206" t="s">
        <v>95</v>
      </c>
      <c r="D25" s="206">
        <v>18.8</v>
      </c>
      <c r="E25" s="44">
        <v>10</v>
      </c>
      <c r="F25" s="88">
        <v>3</v>
      </c>
      <c r="G25" s="168" t="s">
        <v>447</v>
      </c>
    </row>
    <row r="26" spans="1:7" ht="105" customHeight="1" x14ac:dyDescent="0.25">
      <c r="A26" s="60" t="s">
        <v>193</v>
      </c>
      <c r="B26" s="47" t="s">
        <v>199</v>
      </c>
      <c r="C26" s="206" t="s">
        <v>95</v>
      </c>
      <c r="D26" s="206">
        <v>20.2</v>
      </c>
      <c r="E26" s="44">
        <v>10</v>
      </c>
      <c r="F26" s="88">
        <v>3.3</v>
      </c>
      <c r="G26" s="168" t="s">
        <v>447</v>
      </c>
    </row>
    <row r="27" spans="1:7" ht="159.75" customHeight="1" x14ac:dyDescent="0.25">
      <c r="A27" s="45" t="s">
        <v>194</v>
      </c>
      <c r="B27" s="47" t="s">
        <v>207</v>
      </c>
      <c r="C27" s="206" t="s">
        <v>95</v>
      </c>
      <c r="D27" s="44">
        <v>6.8</v>
      </c>
      <c r="E27" s="44">
        <v>3</v>
      </c>
      <c r="F27" s="88">
        <v>1.2</v>
      </c>
      <c r="G27" s="168" t="s">
        <v>451</v>
      </c>
    </row>
    <row r="28" spans="1:7" ht="135.75" customHeight="1" x14ac:dyDescent="0.25">
      <c r="A28" s="60" t="s">
        <v>195</v>
      </c>
      <c r="B28" s="47" t="s">
        <v>200</v>
      </c>
      <c r="C28" s="206" t="s">
        <v>95</v>
      </c>
      <c r="D28" s="206">
        <v>0.5</v>
      </c>
      <c r="E28" s="206">
        <v>0.3</v>
      </c>
      <c r="F28" s="89">
        <v>0.1</v>
      </c>
      <c r="G28" s="168" t="s">
        <v>447</v>
      </c>
    </row>
    <row r="29" spans="1:7" ht="161.25" customHeight="1" x14ac:dyDescent="0.25">
      <c r="A29" s="45" t="s">
        <v>196</v>
      </c>
      <c r="B29" s="47" t="s">
        <v>201</v>
      </c>
      <c r="C29" s="206" t="s">
        <v>95</v>
      </c>
      <c r="D29" s="206">
        <v>55.6</v>
      </c>
      <c r="E29" s="44">
        <v>60</v>
      </c>
      <c r="F29" s="89">
        <v>32.1</v>
      </c>
      <c r="G29" s="168" t="s">
        <v>451</v>
      </c>
    </row>
    <row r="30" spans="1:7" ht="147" customHeight="1" x14ac:dyDescent="0.25">
      <c r="A30" s="60" t="s">
        <v>240</v>
      </c>
      <c r="B30" s="47" t="s">
        <v>242</v>
      </c>
      <c r="C30" s="206" t="s">
        <v>104</v>
      </c>
      <c r="D30" s="206">
        <v>46</v>
      </c>
      <c r="E30" s="38">
        <v>40</v>
      </c>
      <c r="F30" s="89">
        <v>43</v>
      </c>
      <c r="G30" s="168" t="s">
        <v>137</v>
      </c>
    </row>
    <row r="31" spans="1:7" ht="146.25" customHeight="1" x14ac:dyDescent="0.25">
      <c r="A31" s="45" t="s">
        <v>246</v>
      </c>
      <c r="B31" s="197" t="s">
        <v>387</v>
      </c>
      <c r="C31" s="206" t="s">
        <v>104</v>
      </c>
      <c r="D31" s="206">
        <v>456</v>
      </c>
      <c r="E31" s="38">
        <v>410</v>
      </c>
      <c r="F31" s="89">
        <v>798</v>
      </c>
      <c r="G31" s="64" t="s">
        <v>137</v>
      </c>
    </row>
    <row r="32" spans="1:7" ht="121.5" customHeight="1" x14ac:dyDescent="0.25">
      <c r="A32" s="45" t="s">
        <v>374</v>
      </c>
      <c r="B32" s="47" t="s">
        <v>398</v>
      </c>
      <c r="C32" s="206" t="s">
        <v>95</v>
      </c>
      <c r="D32" s="206" t="s">
        <v>137</v>
      </c>
      <c r="E32" s="44">
        <v>65</v>
      </c>
      <c r="F32" s="206" t="s">
        <v>495</v>
      </c>
      <c r="G32" s="169" t="s">
        <v>137</v>
      </c>
    </row>
    <row r="33" spans="1:7" ht="128.25" customHeight="1" x14ac:dyDescent="0.25">
      <c r="A33" s="45" t="s">
        <v>375</v>
      </c>
      <c r="B33" s="47" t="s">
        <v>399</v>
      </c>
      <c r="C33" s="206" t="s">
        <v>95</v>
      </c>
      <c r="D33" s="206" t="s">
        <v>137</v>
      </c>
      <c r="E33" s="44">
        <v>65</v>
      </c>
      <c r="F33" s="206" t="s">
        <v>496</v>
      </c>
      <c r="G33" s="169" t="s">
        <v>137</v>
      </c>
    </row>
    <row r="34" spans="1:7" ht="129.75" customHeight="1" x14ac:dyDescent="0.25">
      <c r="A34" s="45" t="s">
        <v>258</v>
      </c>
      <c r="B34" s="47" t="s">
        <v>280</v>
      </c>
      <c r="C34" s="206" t="s">
        <v>95</v>
      </c>
      <c r="D34" s="206">
        <v>1.9</v>
      </c>
      <c r="E34" s="44">
        <v>3.9</v>
      </c>
      <c r="F34" s="89">
        <v>0.4</v>
      </c>
      <c r="G34" s="64" t="s">
        <v>137</v>
      </c>
    </row>
    <row r="35" spans="1:7" ht="102" customHeight="1" x14ac:dyDescent="0.25">
      <c r="A35" s="45" t="s">
        <v>259</v>
      </c>
      <c r="B35" s="47" t="s">
        <v>260</v>
      </c>
      <c r="C35" s="206" t="s">
        <v>95</v>
      </c>
      <c r="D35" s="206">
        <v>59.4</v>
      </c>
      <c r="E35" s="44">
        <v>60.9</v>
      </c>
      <c r="F35" s="64">
        <v>59.3</v>
      </c>
      <c r="G35" s="168" t="s">
        <v>575</v>
      </c>
    </row>
    <row r="36" spans="1:7" ht="118.5" customHeight="1" x14ac:dyDescent="0.25">
      <c r="A36" s="60" t="s">
        <v>388</v>
      </c>
      <c r="B36" s="61" t="s">
        <v>389</v>
      </c>
      <c r="C36" s="89" t="s">
        <v>95</v>
      </c>
      <c r="D36" s="89" t="s">
        <v>137</v>
      </c>
      <c r="E36" s="88">
        <v>85</v>
      </c>
      <c r="F36" s="88">
        <v>100</v>
      </c>
      <c r="G36" s="169" t="s">
        <v>137</v>
      </c>
    </row>
    <row r="37" spans="1:7" ht="134.25" customHeight="1" x14ac:dyDescent="0.25">
      <c r="A37" s="60" t="s">
        <v>390</v>
      </c>
      <c r="B37" s="61" t="s">
        <v>391</v>
      </c>
      <c r="C37" s="89" t="s">
        <v>95</v>
      </c>
      <c r="D37" s="89" t="s">
        <v>137</v>
      </c>
      <c r="E37" s="88">
        <v>85</v>
      </c>
      <c r="F37" s="89">
        <v>89.2</v>
      </c>
      <c r="G37" s="169" t="s">
        <v>137</v>
      </c>
    </row>
    <row r="38" spans="1:7" ht="123.75" customHeight="1" x14ac:dyDescent="0.25">
      <c r="A38" s="60" t="s">
        <v>392</v>
      </c>
      <c r="B38" s="61" t="s">
        <v>393</v>
      </c>
      <c r="C38" s="89" t="s">
        <v>95</v>
      </c>
      <c r="D38" s="89" t="s">
        <v>137</v>
      </c>
      <c r="E38" s="88">
        <v>70</v>
      </c>
      <c r="F38" s="89">
        <v>72.3</v>
      </c>
      <c r="G38" s="169" t="s">
        <v>137</v>
      </c>
    </row>
    <row r="39" spans="1:7" ht="404.25" customHeight="1" x14ac:dyDescent="0.25">
      <c r="A39" s="45" t="s">
        <v>431</v>
      </c>
      <c r="B39" s="47" t="s">
        <v>432</v>
      </c>
      <c r="C39" s="65" t="s">
        <v>95</v>
      </c>
      <c r="D39" s="65" t="s">
        <v>137</v>
      </c>
      <c r="E39" s="153">
        <v>722</v>
      </c>
      <c r="F39" s="65">
        <v>422</v>
      </c>
      <c r="G39" s="220" t="s">
        <v>497</v>
      </c>
    </row>
    <row r="40" spans="1:7" ht="366.75" customHeight="1" x14ac:dyDescent="0.25">
      <c r="A40" s="45" t="s">
        <v>433</v>
      </c>
      <c r="B40" s="47" t="s">
        <v>434</v>
      </c>
      <c r="C40" s="65" t="s">
        <v>95</v>
      </c>
      <c r="D40" s="65" t="s">
        <v>137</v>
      </c>
      <c r="E40" s="153">
        <v>2100</v>
      </c>
      <c r="F40" s="65">
        <v>518</v>
      </c>
      <c r="G40" s="220"/>
    </row>
    <row r="41" spans="1:7" ht="27" customHeight="1" x14ac:dyDescent="0.25">
      <c r="A41" s="45" t="s">
        <v>435</v>
      </c>
      <c r="B41" s="47" t="s">
        <v>436</v>
      </c>
      <c r="C41" s="206" t="s">
        <v>95</v>
      </c>
      <c r="D41" s="206" t="s">
        <v>137</v>
      </c>
      <c r="E41" s="153">
        <v>3.1</v>
      </c>
      <c r="F41" s="44">
        <v>3</v>
      </c>
      <c r="G41" s="168" t="s">
        <v>137</v>
      </c>
    </row>
    <row r="42" spans="1:7" ht="28.5" customHeight="1" x14ac:dyDescent="0.25">
      <c r="A42" s="73"/>
      <c r="B42" s="34" t="s">
        <v>109</v>
      </c>
      <c r="C42" s="36"/>
      <c r="D42" s="206"/>
      <c r="E42" s="37"/>
      <c r="F42" s="89"/>
      <c r="G42" s="64" t="s">
        <v>137</v>
      </c>
    </row>
    <row r="43" spans="1:7" ht="70.5" customHeight="1" x14ac:dyDescent="0.25">
      <c r="A43" s="73" t="s">
        <v>110</v>
      </c>
      <c r="B43" s="47" t="s">
        <v>111</v>
      </c>
      <c r="C43" s="206" t="s">
        <v>104</v>
      </c>
      <c r="D43" s="206">
        <v>809</v>
      </c>
      <c r="E43" s="206">
        <v>1060</v>
      </c>
      <c r="F43" s="206">
        <v>665</v>
      </c>
      <c r="G43" s="40" t="s">
        <v>137</v>
      </c>
    </row>
    <row r="44" spans="1:7" ht="63" customHeight="1" x14ac:dyDescent="0.25">
      <c r="A44" s="73" t="s">
        <v>112</v>
      </c>
      <c r="B44" s="47" t="s">
        <v>113</v>
      </c>
      <c r="C44" s="206" t="s">
        <v>114</v>
      </c>
      <c r="D44" s="206">
        <v>46.91</v>
      </c>
      <c r="E44" s="206">
        <v>46</v>
      </c>
      <c r="F44" s="206">
        <v>35.64</v>
      </c>
      <c r="G44" s="40" t="s">
        <v>137</v>
      </c>
    </row>
    <row r="45" spans="1:7" ht="90" customHeight="1" x14ac:dyDescent="0.25">
      <c r="A45" s="73" t="s">
        <v>115</v>
      </c>
      <c r="B45" s="47" t="s">
        <v>116</v>
      </c>
      <c r="C45" s="206" t="s">
        <v>104</v>
      </c>
      <c r="D45" s="206">
        <v>9</v>
      </c>
      <c r="E45" s="206">
        <v>24</v>
      </c>
      <c r="F45" s="206">
        <v>30</v>
      </c>
      <c r="G45" s="74" t="s">
        <v>472</v>
      </c>
    </row>
    <row r="46" spans="1:7" ht="66.75" customHeight="1" x14ac:dyDescent="0.25">
      <c r="A46" s="73" t="s">
        <v>117</v>
      </c>
      <c r="B46" s="47" t="s">
        <v>118</v>
      </c>
      <c r="C46" s="206" t="s">
        <v>119</v>
      </c>
      <c r="D46" s="206">
        <v>1042.3</v>
      </c>
      <c r="E46" s="44">
        <v>993.8</v>
      </c>
      <c r="F46" s="206">
        <v>995.4</v>
      </c>
      <c r="G46" s="40" t="s">
        <v>137</v>
      </c>
    </row>
    <row r="47" spans="1:7" ht="61.5" customHeight="1" x14ac:dyDescent="0.25">
      <c r="A47" s="73" t="s">
        <v>120</v>
      </c>
      <c r="B47" s="47" t="s">
        <v>121</v>
      </c>
      <c r="C47" s="206" t="s">
        <v>100</v>
      </c>
      <c r="D47" s="206">
        <v>133119</v>
      </c>
      <c r="E47" s="206">
        <v>20000</v>
      </c>
      <c r="F47" s="89">
        <v>21868</v>
      </c>
      <c r="G47" s="40" t="s">
        <v>137</v>
      </c>
    </row>
    <row r="48" spans="1:7" ht="120" customHeight="1" x14ac:dyDescent="0.25">
      <c r="A48" s="160" t="s">
        <v>122</v>
      </c>
      <c r="B48" s="47" t="s">
        <v>123</v>
      </c>
      <c r="C48" s="206" t="s">
        <v>104</v>
      </c>
      <c r="D48" s="206">
        <v>202962</v>
      </c>
      <c r="E48" s="206">
        <v>192000</v>
      </c>
      <c r="F48" s="206">
        <v>195143</v>
      </c>
      <c r="G48" s="170" t="s">
        <v>471</v>
      </c>
    </row>
    <row r="49" spans="1:7" ht="76.5" customHeight="1" x14ac:dyDescent="0.25">
      <c r="A49" s="167" t="s">
        <v>124</v>
      </c>
      <c r="B49" s="47" t="s">
        <v>125</v>
      </c>
      <c r="C49" s="206" t="s">
        <v>95</v>
      </c>
      <c r="D49" s="206">
        <v>13.5</v>
      </c>
      <c r="E49" s="44">
        <v>13</v>
      </c>
      <c r="F49" s="44">
        <v>13</v>
      </c>
      <c r="G49" s="170" t="s">
        <v>137</v>
      </c>
    </row>
    <row r="50" spans="1:7" ht="81" customHeight="1" x14ac:dyDescent="0.25">
      <c r="A50" s="73"/>
      <c r="B50" s="34" t="s">
        <v>29</v>
      </c>
      <c r="C50" s="36"/>
      <c r="D50" s="206"/>
      <c r="E50" s="37"/>
      <c r="F50" s="89"/>
      <c r="G50" s="64"/>
    </row>
    <row r="51" spans="1:7" ht="268.5" customHeight="1" x14ac:dyDescent="0.25">
      <c r="A51" s="73" t="s">
        <v>292</v>
      </c>
      <c r="B51" s="47" t="s">
        <v>126</v>
      </c>
      <c r="C51" s="206" t="s">
        <v>104</v>
      </c>
      <c r="D51" s="40">
        <v>428</v>
      </c>
      <c r="E51" s="206">
        <v>500</v>
      </c>
      <c r="F51" s="90">
        <v>150</v>
      </c>
      <c r="G51" s="206" t="s">
        <v>498</v>
      </c>
    </row>
    <row r="52" spans="1:7" ht="239.25" customHeight="1" x14ac:dyDescent="0.25">
      <c r="A52" s="73" t="s">
        <v>293</v>
      </c>
      <c r="B52" s="47" t="s">
        <v>127</v>
      </c>
      <c r="C52" s="206" t="s">
        <v>95</v>
      </c>
      <c r="D52" s="40">
        <v>94.8</v>
      </c>
      <c r="E52" s="44">
        <v>100</v>
      </c>
      <c r="F52" s="91">
        <v>98.8</v>
      </c>
      <c r="G52" s="206" t="s">
        <v>578</v>
      </c>
    </row>
    <row r="53" spans="1:7" ht="144" customHeight="1" x14ac:dyDescent="0.25">
      <c r="A53" s="73" t="s">
        <v>294</v>
      </c>
      <c r="B53" s="47" t="s">
        <v>128</v>
      </c>
      <c r="C53" s="206" t="s">
        <v>95</v>
      </c>
      <c r="D53" s="206">
        <v>0</v>
      </c>
      <c r="E53" s="44">
        <v>10</v>
      </c>
      <c r="F53" s="89">
        <v>0</v>
      </c>
      <c r="G53" s="206" t="s">
        <v>503</v>
      </c>
    </row>
    <row r="54" spans="1:7" ht="96.75" customHeight="1" x14ac:dyDescent="0.25">
      <c r="A54" s="73" t="s">
        <v>295</v>
      </c>
      <c r="B54" s="47" t="s">
        <v>129</v>
      </c>
      <c r="C54" s="206" t="s">
        <v>95</v>
      </c>
      <c r="D54" s="206">
        <v>13.8</v>
      </c>
      <c r="E54" s="206">
        <v>5</v>
      </c>
      <c r="F54" s="89">
        <v>31.3</v>
      </c>
      <c r="G54" s="206" t="s">
        <v>499</v>
      </c>
    </row>
    <row r="55" spans="1:7" ht="93.75" customHeight="1" x14ac:dyDescent="0.25">
      <c r="A55" s="73" t="s">
        <v>296</v>
      </c>
      <c r="B55" s="47" t="s">
        <v>130</v>
      </c>
      <c r="C55" s="206" t="s">
        <v>95</v>
      </c>
      <c r="D55" s="206">
        <v>71.7</v>
      </c>
      <c r="E55" s="44">
        <v>72</v>
      </c>
      <c r="F55" s="88">
        <v>46.6</v>
      </c>
      <c r="G55" s="206" t="s">
        <v>577</v>
      </c>
    </row>
    <row r="56" spans="1:7" ht="102.75" customHeight="1" x14ac:dyDescent="0.25">
      <c r="A56" s="73" t="s">
        <v>297</v>
      </c>
      <c r="B56" s="47" t="s">
        <v>131</v>
      </c>
      <c r="C56" s="206" t="s">
        <v>95</v>
      </c>
      <c r="D56" s="206">
        <v>71.7</v>
      </c>
      <c r="E56" s="44">
        <v>70</v>
      </c>
      <c r="F56" s="88">
        <v>46.6</v>
      </c>
      <c r="G56" s="206" t="s">
        <v>577</v>
      </c>
    </row>
    <row r="57" spans="1:7" ht="116.25" customHeight="1" x14ac:dyDescent="0.25">
      <c r="A57" s="73" t="s">
        <v>298</v>
      </c>
      <c r="B57" s="47" t="s">
        <v>132</v>
      </c>
      <c r="C57" s="206" t="s">
        <v>95</v>
      </c>
      <c r="D57" s="44">
        <v>0</v>
      </c>
      <c r="E57" s="44">
        <v>2</v>
      </c>
      <c r="F57" s="89">
        <v>0</v>
      </c>
      <c r="G57" s="206" t="s">
        <v>502</v>
      </c>
    </row>
    <row r="58" spans="1:7" ht="100.5" customHeight="1" x14ac:dyDescent="0.25">
      <c r="A58" s="73" t="s">
        <v>299</v>
      </c>
      <c r="B58" s="47" t="s">
        <v>133</v>
      </c>
      <c r="C58" s="206" t="s">
        <v>95</v>
      </c>
      <c r="D58" s="151">
        <v>100</v>
      </c>
      <c r="E58" s="44">
        <v>100</v>
      </c>
      <c r="F58" s="88">
        <v>100</v>
      </c>
      <c r="G58" s="206" t="s">
        <v>137</v>
      </c>
    </row>
    <row r="59" spans="1:7" ht="150.75" customHeight="1" x14ac:dyDescent="0.25">
      <c r="A59" s="73" t="s">
        <v>300</v>
      </c>
      <c r="B59" s="12" t="s">
        <v>134</v>
      </c>
      <c r="C59" s="40" t="s">
        <v>95</v>
      </c>
      <c r="D59" s="206">
        <v>5.0999999999999996</v>
      </c>
      <c r="E59" s="151">
        <v>14</v>
      </c>
      <c r="F59" s="89">
        <v>2</v>
      </c>
      <c r="G59" s="206" t="s">
        <v>501</v>
      </c>
    </row>
    <row r="60" spans="1:7" ht="182.25" customHeight="1" x14ac:dyDescent="0.25">
      <c r="A60" s="73" t="s">
        <v>301</v>
      </c>
      <c r="B60" s="12" t="s">
        <v>135</v>
      </c>
      <c r="C60" s="40" t="s">
        <v>95</v>
      </c>
      <c r="D60" s="151">
        <v>94.5</v>
      </c>
      <c r="E60" s="151">
        <v>95</v>
      </c>
      <c r="F60" s="90">
        <v>51.6</v>
      </c>
      <c r="G60" s="206" t="s">
        <v>500</v>
      </c>
    </row>
    <row r="61" spans="1:7" x14ac:dyDescent="0.25">
      <c r="A61" s="221" t="s">
        <v>444</v>
      </c>
      <c r="B61" s="222"/>
      <c r="C61" s="222"/>
      <c r="D61" s="222"/>
      <c r="E61" s="222"/>
      <c r="F61" s="222"/>
      <c r="G61" s="222"/>
    </row>
    <row r="62" spans="1:7" ht="18" x14ac:dyDescent="0.25">
      <c r="A62" s="223"/>
      <c r="B62" s="223"/>
      <c r="C62" s="223"/>
      <c r="D62" s="223"/>
      <c r="E62" s="223"/>
      <c r="F62" s="223"/>
      <c r="G62" s="223"/>
    </row>
    <row r="63" spans="1:7" ht="15.75" x14ac:dyDescent="0.25">
      <c r="A63" s="224"/>
      <c r="B63" s="224"/>
      <c r="C63" s="3"/>
      <c r="D63" s="3"/>
      <c r="E63" s="3"/>
      <c r="F63" s="225"/>
      <c r="G63" s="225"/>
    </row>
    <row r="64" spans="1:7" hidden="1" x14ac:dyDescent="0.25">
      <c r="A64" s="46"/>
      <c r="B64" s="24"/>
      <c r="C64" s="2"/>
      <c r="D64" s="2"/>
      <c r="E64" s="2"/>
      <c r="F64" s="218"/>
      <c r="G64" s="218"/>
    </row>
    <row r="65" spans="1:7" ht="36.75" customHeight="1" x14ac:dyDescent="0.3">
      <c r="A65" s="219" t="s">
        <v>576</v>
      </c>
      <c r="B65" s="219"/>
      <c r="C65" s="148"/>
      <c r="D65" s="148"/>
      <c r="E65" s="148"/>
      <c r="F65" s="149"/>
      <c r="G65" s="166" t="s">
        <v>354</v>
      </c>
    </row>
    <row r="66" spans="1:7" x14ac:dyDescent="0.25">
      <c r="A66" s="46"/>
      <c r="B66" s="24"/>
      <c r="C66" s="2"/>
      <c r="D66" s="2"/>
      <c r="E66" s="2"/>
      <c r="F66" s="141"/>
      <c r="G66" s="17"/>
    </row>
    <row r="67" spans="1:7" ht="15.75" x14ac:dyDescent="0.25">
      <c r="A67" s="23" t="s">
        <v>381</v>
      </c>
      <c r="B67" s="23"/>
      <c r="C67" s="1"/>
      <c r="D67" s="1"/>
      <c r="E67" s="1"/>
      <c r="F67" s="1"/>
      <c r="G67" s="54"/>
    </row>
    <row r="68" spans="1:7" ht="15.75" x14ac:dyDescent="0.25">
      <c r="A68" s="150" t="s">
        <v>382</v>
      </c>
      <c r="B68" s="23"/>
      <c r="C68" s="23"/>
      <c r="D68" s="23"/>
      <c r="E68" s="23"/>
      <c r="F68" s="23"/>
      <c r="G68" s="17"/>
    </row>
  </sheetData>
  <mergeCells count="20">
    <mergeCell ref="A6:G6"/>
    <mergeCell ref="A1:G1"/>
    <mergeCell ref="A2:G2"/>
    <mergeCell ref="A3:G3"/>
    <mergeCell ref="A4:G4"/>
    <mergeCell ref="A5:G5"/>
    <mergeCell ref="G14:G15"/>
    <mergeCell ref="A8:A10"/>
    <mergeCell ref="B8:B10"/>
    <mergeCell ref="C8:C10"/>
    <mergeCell ref="D8:F8"/>
    <mergeCell ref="G8:G10"/>
    <mergeCell ref="E9:F9"/>
    <mergeCell ref="F64:G64"/>
    <mergeCell ref="A65:B65"/>
    <mergeCell ref="G39:G40"/>
    <mergeCell ref="A61:G61"/>
    <mergeCell ref="A62:G62"/>
    <mergeCell ref="A63:B63"/>
    <mergeCell ref="F63:G63"/>
  </mergeCell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130"/>
  <sheetViews>
    <sheetView view="pageBreakPreview" zoomScale="80" zoomScaleNormal="80" zoomScaleSheetLayoutView="80" zoomScalePageLayoutView="55" workbookViewId="0">
      <pane xSplit="2" ySplit="10" topLeftCell="C102" activePane="bottomRight" state="frozen"/>
      <selection pane="topRight" activeCell="C1" sqref="C1"/>
      <selection pane="bottomLeft" activeCell="A11" sqref="A11"/>
      <selection pane="bottomRight" activeCell="Q105" sqref="Q105"/>
    </sheetView>
  </sheetViews>
  <sheetFormatPr defaultColWidth="9.140625" defaultRowHeight="15.75" x14ac:dyDescent="0.25"/>
  <cols>
    <col min="1" max="1" width="12.85546875" style="5" customWidth="1"/>
    <col min="2" max="2" width="34.5703125" style="5" customWidth="1"/>
    <col min="3" max="3" width="9.42578125" style="5" customWidth="1"/>
    <col min="4" max="4" width="22.140625" style="5" customWidth="1"/>
    <col min="5" max="5" width="17.28515625" style="5" customWidth="1"/>
    <col min="6" max="6" width="14.7109375" style="5" customWidth="1"/>
    <col min="7" max="7" width="14" style="5" customWidth="1"/>
    <col min="8" max="8" width="13.85546875" style="5" customWidth="1"/>
    <col min="9" max="9" width="16.42578125" style="132" customWidth="1"/>
    <col min="10" max="10" width="13.7109375" style="23" customWidth="1"/>
    <col min="11" max="11" width="13.42578125" style="23" customWidth="1"/>
    <col min="12" max="12" width="13.140625" style="23" customWidth="1"/>
    <col min="13" max="13" width="12.28515625" style="23" customWidth="1"/>
    <col min="14" max="14" width="11.85546875" style="23" customWidth="1"/>
    <col min="15" max="15" width="11.7109375" style="23" customWidth="1"/>
    <col min="16" max="16" width="12" style="23" customWidth="1"/>
    <col min="17" max="17" width="24.28515625" style="5" customWidth="1"/>
    <col min="18" max="18" width="17.5703125" style="5" customWidth="1"/>
    <col min="19" max="19" width="17.5703125" style="43" customWidth="1"/>
    <col min="20" max="20" width="27.5703125" style="5" customWidth="1"/>
    <col min="21" max="21" width="13.42578125" style="5" customWidth="1"/>
    <col min="22" max="22" width="14.28515625" style="5" customWidth="1"/>
    <col min="23" max="23" width="12.42578125" style="5" customWidth="1"/>
    <col min="24" max="24" width="12.5703125" style="5" customWidth="1"/>
    <col min="25" max="25" width="15.7109375" style="5" customWidth="1"/>
    <col min="26" max="16384" width="9.140625" style="5"/>
  </cols>
  <sheetData>
    <row r="1" spans="1:25" ht="30.75" customHeight="1" x14ac:dyDescent="0.25">
      <c r="A1" s="234" t="s">
        <v>6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25" x14ac:dyDescent="0.25">
      <c r="A2" s="234" t="s">
        <v>211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1:25" x14ac:dyDescent="0.25">
      <c r="A3" s="233" t="s">
        <v>136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7"/>
      <c r="S3" s="7"/>
      <c r="T3" s="7"/>
      <c r="U3" s="7"/>
      <c r="V3" s="7"/>
      <c r="W3" s="7"/>
    </row>
    <row r="4" spans="1:25" ht="13.15" customHeight="1" x14ac:dyDescent="0.25">
      <c r="A4" s="231" t="s">
        <v>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7"/>
      <c r="S4" s="7"/>
      <c r="T4" s="7"/>
      <c r="U4" s="7"/>
      <c r="V4" s="7"/>
      <c r="W4" s="7"/>
    </row>
    <row r="5" spans="1:25" x14ac:dyDescent="0.25">
      <c r="A5" s="233" t="s">
        <v>452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7"/>
      <c r="S5" s="7"/>
      <c r="T5" s="7"/>
      <c r="U5" s="7"/>
      <c r="V5" s="7"/>
      <c r="W5" s="7"/>
    </row>
    <row r="6" spans="1:25" x14ac:dyDescent="0.25">
      <c r="A6" s="231"/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8"/>
      <c r="S6" s="8"/>
      <c r="T6" s="8"/>
      <c r="U6" s="8"/>
      <c r="V6" s="8"/>
      <c r="W6" s="8"/>
    </row>
    <row r="7" spans="1:25" s="9" customFormat="1" ht="35.25" customHeight="1" x14ac:dyDescent="0.25">
      <c r="A7" s="208" t="s">
        <v>419</v>
      </c>
      <c r="B7" s="208" t="s">
        <v>420</v>
      </c>
      <c r="C7" s="208" t="s">
        <v>212</v>
      </c>
      <c r="D7" s="208" t="s">
        <v>421</v>
      </c>
      <c r="E7" s="208" t="s">
        <v>213</v>
      </c>
      <c r="F7" s="208" t="s">
        <v>214</v>
      </c>
      <c r="G7" s="208" t="s">
        <v>215</v>
      </c>
      <c r="H7" s="208" t="s">
        <v>216</v>
      </c>
      <c r="I7" s="208" t="s">
        <v>217</v>
      </c>
      <c r="J7" s="208"/>
      <c r="K7" s="208"/>
      <c r="L7" s="208"/>
      <c r="M7" s="208"/>
      <c r="N7" s="208"/>
      <c r="O7" s="208"/>
      <c r="P7" s="208"/>
      <c r="Q7" s="228" t="s">
        <v>445</v>
      </c>
    </row>
    <row r="8" spans="1:25" s="9" customFormat="1" ht="34.5" customHeight="1" x14ac:dyDescent="0.25">
      <c r="A8" s="208"/>
      <c r="B8" s="208"/>
      <c r="C8" s="208"/>
      <c r="D8" s="208"/>
      <c r="E8" s="208"/>
      <c r="F8" s="208"/>
      <c r="G8" s="208"/>
      <c r="H8" s="208"/>
      <c r="I8" s="236" t="s">
        <v>218</v>
      </c>
      <c r="J8" s="236"/>
      <c r="K8" s="236" t="s">
        <v>219</v>
      </c>
      <c r="L8" s="236"/>
      <c r="M8" s="236" t="s">
        <v>220</v>
      </c>
      <c r="N8" s="236"/>
      <c r="O8" s="236" t="s">
        <v>221</v>
      </c>
      <c r="P8" s="236"/>
      <c r="Q8" s="228"/>
    </row>
    <row r="9" spans="1:25" s="9" customFormat="1" ht="50.45" customHeight="1" x14ac:dyDescent="0.25">
      <c r="A9" s="208"/>
      <c r="B9" s="208"/>
      <c r="C9" s="208"/>
      <c r="D9" s="208"/>
      <c r="E9" s="208"/>
      <c r="F9" s="208"/>
      <c r="G9" s="208"/>
      <c r="H9" s="208"/>
      <c r="I9" s="104" t="s">
        <v>12</v>
      </c>
      <c r="J9" s="181" t="s">
        <v>13</v>
      </c>
      <c r="K9" s="181" t="s">
        <v>12</v>
      </c>
      <c r="L9" s="181" t="s">
        <v>13</v>
      </c>
      <c r="M9" s="181" t="s">
        <v>12</v>
      </c>
      <c r="N9" s="181" t="s">
        <v>241</v>
      </c>
      <c r="O9" s="181" t="s">
        <v>12</v>
      </c>
      <c r="P9" s="181" t="s">
        <v>13</v>
      </c>
      <c r="Q9" s="228"/>
    </row>
    <row r="10" spans="1:25" x14ac:dyDescent="0.25">
      <c r="A10" s="105">
        <v>1</v>
      </c>
      <c r="B10" s="105">
        <v>2</v>
      </c>
      <c r="C10" s="105">
        <v>3</v>
      </c>
      <c r="D10" s="105">
        <v>4</v>
      </c>
      <c r="E10" s="105">
        <v>5</v>
      </c>
      <c r="F10" s="105">
        <v>6</v>
      </c>
      <c r="G10" s="105">
        <v>7</v>
      </c>
      <c r="H10" s="105">
        <v>8</v>
      </c>
      <c r="I10" s="106">
        <v>9</v>
      </c>
      <c r="J10" s="105">
        <v>10</v>
      </c>
      <c r="K10" s="105">
        <v>11</v>
      </c>
      <c r="L10" s="105">
        <v>12</v>
      </c>
      <c r="M10" s="105">
        <v>13</v>
      </c>
      <c r="N10" s="105">
        <v>14</v>
      </c>
      <c r="O10" s="105">
        <v>15</v>
      </c>
      <c r="P10" s="105">
        <v>16</v>
      </c>
      <c r="Q10" s="105">
        <v>17</v>
      </c>
    </row>
    <row r="11" spans="1:25" s="10" customFormat="1" ht="47.25" x14ac:dyDescent="0.25">
      <c r="A11" s="107"/>
      <c r="B11" s="108" t="s">
        <v>34</v>
      </c>
      <c r="C11" s="109"/>
      <c r="D11" s="109"/>
      <c r="E11" s="110"/>
      <c r="F11" s="110"/>
      <c r="G11" s="110"/>
      <c r="H11" s="110"/>
      <c r="I11" s="111"/>
      <c r="J11" s="111"/>
      <c r="K11" s="111"/>
      <c r="L11" s="111"/>
      <c r="M11" s="111"/>
      <c r="N11" s="111"/>
      <c r="O11" s="189"/>
      <c r="P11" s="111"/>
      <c r="Q11" s="111"/>
      <c r="T11" s="11">
        <f>I11+K11+M11+O11</f>
        <v>0</v>
      </c>
      <c r="U11" s="11">
        <f>J11+L11+N11+P11</f>
        <v>0</v>
      </c>
      <c r="X11" s="6">
        <f t="shared" ref="X11:X22" si="0">V11-J11-L11</f>
        <v>0</v>
      </c>
    </row>
    <row r="12" spans="1:25" ht="252" customHeight="1" x14ac:dyDescent="0.25">
      <c r="A12" s="60" t="s">
        <v>30</v>
      </c>
      <c r="B12" s="61" t="s">
        <v>307</v>
      </c>
      <c r="C12" s="89" t="s">
        <v>222</v>
      </c>
      <c r="D12" s="112" t="s">
        <v>282</v>
      </c>
      <c r="E12" s="92">
        <v>43839</v>
      </c>
      <c r="F12" s="92">
        <v>44196</v>
      </c>
      <c r="G12" s="92">
        <v>43839</v>
      </c>
      <c r="H12" s="92" t="s">
        <v>137</v>
      </c>
      <c r="I12" s="88">
        <v>597</v>
      </c>
      <c r="J12" s="88">
        <v>608.70000000000005</v>
      </c>
      <c r="K12" s="103">
        <v>651.5</v>
      </c>
      <c r="L12" s="88">
        <f>1271-J12</f>
        <v>662.3</v>
      </c>
      <c r="M12" s="103">
        <v>694.7</v>
      </c>
      <c r="N12" s="103">
        <f>1956.9-L12-J12</f>
        <v>685.90000000000009</v>
      </c>
      <c r="O12" s="88">
        <v>902.1</v>
      </c>
      <c r="P12" s="103">
        <f>2806.1-N12-L12-J12</f>
        <v>849.19999999999982</v>
      </c>
      <c r="Q12" s="58" t="s">
        <v>483</v>
      </c>
      <c r="R12" s="79">
        <f>I12+K12+M12+O12</f>
        <v>2845.3</v>
      </c>
      <c r="S12" s="79">
        <v>608.70000000000005</v>
      </c>
      <c r="T12" s="5">
        <f>1111.8-J12</f>
        <v>503.09999999999991</v>
      </c>
      <c r="U12" s="5">
        <f>J12+L12</f>
        <v>1271</v>
      </c>
      <c r="V12" s="5">
        <v>1573.3</v>
      </c>
      <c r="X12" s="6">
        <f t="shared" si="0"/>
        <v>302.29999999999995</v>
      </c>
      <c r="Y12" s="6">
        <f t="shared" ref="Y12:Y22" si="1">X12-N12</f>
        <v>-383.60000000000014</v>
      </c>
    </row>
    <row r="13" spans="1:25" ht="225.75" customHeight="1" x14ac:dyDescent="0.25">
      <c r="A13" s="60"/>
      <c r="B13" s="61" t="s">
        <v>321</v>
      </c>
      <c r="C13" s="89" t="s">
        <v>222</v>
      </c>
      <c r="D13" s="112" t="s">
        <v>282</v>
      </c>
      <c r="E13" s="111" t="s">
        <v>137</v>
      </c>
      <c r="F13" s="92" t="s">
        <v>454</v>
      </c>
      <c r="G13" s="92" t="s">
        <v>137</v>
      </c>
      <c r="H13" s="161" t="s">
        <v>506</v>
      </c>
      <c r="I13" s="111" t="s">
        <v>137</v>
      </c>
      <c r="J13" s="111" t="s">
        <v>137</v>
      </c>
      <c r="K13" s="111" t="s">
        <v>137</v>
      </c>
      <c r="L13" s="111" t="s">
        <v>137</v>
      </c>
      <c r="M13" s="111" t="s">
        <v>137</v>
      </c>
      <c r="N13" s="111" t="s">
        <v>137</v>
      </c>
      <c r="O13" s="111" t="s">
        <v>137</v>
      </c>
      <c r="P13" s="111" t="s">
        <v>137</v>
      </c>
      <c r="Q13" s="111" t="s">
        <v>137</v>
      </c>
      <c r="R13" s="79" t="e">
        <f t="shared" ref="R13:R73" si="2">I13+K13+M13+O13</f>
        <v>#VALUE!</v>
      </c>
      <c r="S13" s="79"/>
      <c r="U13" s="5" t="e">
        <f>J13+L13</f>
        <v>#VALUE!</v>
      </c>
      <c r="X13" s="6" t="e">
        <f t="shared" si="0"/>
        <v>#VALUE!</v>
      </c>
      <c r="Y13" s="6" t="e">
        <f t="shared" si="1"/>
        <v>#VALUE!</v>
      </c>
    </row>
    <row r="14" spans="1:25" ht="144" customHeight="1" x14ac:dyDescent="0.25">
      <c r="A14" s="60" t="s">
        <v>31</v>
      </c>
      <c r="B14" s="61" t="s">
        <v>81</v>
      </c>
      <c r="C14" s="89" t="s">
        <v>222</v>
      </c>
      <c r="D14" s="112" t="s">
        <v>282</v>
      </c>
      <c r="E14" s="92">
        <v>43839</v>
      </c>
      <c r="F14" s="92">
        <v>44196</v>
      </c>
      <c r="G14" s="92">
        <v>43839</v>
      </c>
      <c r="H14" s="92">
        <v>44196</v>
      </c>
      <c r="I14" s="88" t="s">
        <v>137</v>
      </c>
      <c r="J14" s="88" t="s">
        <v>137</v>
      </c>
      <c r="K14" s="88" t="s">
        <v>137</v>
      </c>
      <c r="L14" s="88" t="s">
        <v>137</v>
      </c>
      <c r="M14" s="88" t="s">
        <v>137</v>
      </c>
      <c r="N14" s="88" t="s">
        <v>137</v>
      </c>
      <c r="O14" s="88" t="s">
        <v>137</v>
      </c>
      <c r="P14" s="88" t="s">
        <v>137</v>
      </c>
      <c r="Q14" s="88" t="s">
        <v>137</v>
      </c>
      <c r="R14" s="79" t="e">
        <f t="shared" si="2"/>
        <v>#VALUE!</v>
      </c>
      <c r="S14" s="79"/>
      <c r="U14" s="5" t="e">
        <f>J14+L14</f>
        <v>#VALUE!</v>
      </c>
      <c r="X14" s="6" t="e">
        <f t="shared" si="0"/>
        <v>#VALUE!</v>
      </c>
      <c r="Y14" s="6" t="e">
        <f t="shared" si="1"/>
        <v>#VALUE!</v>
      </c>
    </row>
    <row r="15" spans="1:25" ht="154.5" customHeight="1" x14ac:dyDescent="0.25">
      <c r="A15" s="60" t="s">
        <v>32</v>
      </c>
      <c r="B15" s="61" t="s">
        <v>308</v>
      </c>
      <c r="C15" s="89" t="s">
        <v>222</v>
      </c>
      <c r="D15" s="112" t="s">
        <v>282</v>
      </c>
      <c r="E15" s="92">
        <v>43839</v>
      </c>
      <c r="F15" s="92">
        <v>44196</v>
      </c>
      <c r="G15" s="92">
        <v>43839</v>
      </c>
      <c r="H15" s="92">
        <v>44196</v>
      </c>
      <c r="I15" s="88" t="s">
        <v>137</v>
      </c>
      <c r="J15" s="88" t="s">
        <v>137</v>
      </c>
      <c r="K15" s="88" t="s">
        <v>137</v>
      </c>
      <c r="L15" s="88" t="s">
        <v>137</v>
      </c>
      <c r="M15" s="88" t="s">
        <v>137</v>
      </c>
      <c r="N15" s="88" t="s">
        <v>137</v>
      </c>
      <c r="O15" s="88" t="s">
        <v>137</v>
      </c>
      <c r="P15" s="88" t="s">
        <v>137</v>
      </c>
      <c r="Q15" s="88" t="s">
        <v>137</v>
      </c>
      <c r="R15" s="79" t="e">
        <f t="shared" si="2"/>
        <v>#VALUE!</v>
      </c>
      <c r="S15" s="79"/>
      <c r="U15" s="5" t="e">
        <f>J15+L15</f>
        <v>#VALUE!</v>
      </c>
      <c r="X15" s="6" t="e">
        <f t="shared" si="0"/>
        <v>#VALUE!</v>
      </c>
      <c r="Y15" s="6" t="e">
        <f t="shared" si="1"/>
        <v>#VALUE!</v>
      </c>
    </row>
    <row r="16" spans="1:25" ht="141" customHeight="1" x14ac:dyDescent="0.25">
      <c r="A16" s="60" t="s">
        <v>33</v>
      </c>
      <c r="B16" s="61" t="s">
        <v>83</v>
      </c>
      <c r="C16" s="89" t="s">
        <v>222</v>
      </c>
      <c r="D16" s="112" t="s">
        <v>282</v>
      </c>
      <c r="E16" s="92">
        <v>43839</v>
      </c>
      <c r="F16" s="92">
        <v>44196</v>
      </c>
      <c r="G16" s="92">
        <v>43839</v>
      </c>
      <c r="H16" s="92">
        <v>44196</v>
      </c>
      <c r="I16" s="88" t="s">
        <v>137</v>
      </c>
      <c r="J16" s="88" t="s">
        <v>137</v>
      </c>
      <c r="K16" s="88" t="s">
        <v>137</v>
      </c>
      <c r="L16" s="88" t="s">
        <v>137</v>
      </c>
      <c r="M16" s="88" t="s">
        <v>137</v>
      </c>
      <c r="N16" s="88" t="s">
        <v>137</v>
      </c>
      <c r="O16" s="88" t="s">
        <v>137</v>
      </c>
      <c r="P16" s="88" t="s">
        <v>137</v>
      </c>
      <c r="Q16" s="88" t="s">
        <v>137</v>
      </c>
      <c r="R16" s="79" t="e">
        <f t="shared" si="2"/>
        <v>#VALUE!</v>
      </c>
      <c r="S16" s="79"/>
      <c r="U16" s="5" t="e">
        <f t="shared" ref="U16:U22" si="3">J16+L16</f>
        <v>#VALUE!</v>
      </c>
      <c r="X16" s="6" t="e">
        <f t="shared" si="0"/>
        <v>#VALUE!</v>
      </c>
      <c r="Y16" s="6" t="e">
        <f t="shared" si="1"/>
        <v>#VALUE!</v>
      </c>
    </row>
    <row r="17" spans="1:25" ht="135" customHeight="1" x14ac:dyDescent="0.25">
      <c r="A17" s="112"/>
      <c r="B17" s="114" t="s">
        <v>322</v>
      </c>
      <c r="C17" s="89" t="s">
        <v>222</v>
      </c>
      <c r="D17" s="112" t="s">
        <v>282</v>
      </c>
      <c r="E17" s="92" t="s">
        <v>137</v>
      </c>
      <c r="F17" s="92" t="s">
        <v>401</v>
      </c>
      <c r="G17" s="162" t="s">
        <v>137</v>
      </c>
      <c r="H17" s="162" t="s">
        <v>507</v>
      </c>
      <c r="I17" s="88" t="s">
        <v>137</v>
      </c>
      <c r="J17" s="88" t="s">
        <v>137</v>
      </c>
      <c r="K17" s="88" t="s">
        <v>137</v>
      </c>
      <c r="L17" s="88" t="s">
        <v>137</v>
      </c>
      <c r="M17" s="88" t="s">
        <v>137</v>
      </c>
      <c r="N17" s="88" t="s">
        <v>137</v>
      </c>
      <c r="O17" s="88" t="s">
        <v>137</v>
      </c>
      <c r="P17" s="88" t="s">
        <v>137</v>
      </c>
      <c r="Q17" s="88" t="s">
        <v>137</v>
      </c>
      <c r="R17" s="79" t="e">
        <f t="shared" si="2"/>
        <v>#VALUE!</v>
      </c>
      <c r="S17" s="79"/>
      <c r="U17" s="5" t="e">
        <f t="shared" si="3"/>
        <v>#VALUE!</v>
      </c>
      <c r="X17" s="6" t="e">
        <f t="shared" si="0"/>
        <v>#VALUE!</v>
      </c>
      <c r="Y17" s="6" t="e">
        <f t="shared" si="1"/>
        <v>#VALUE!</v>
      </c>
    </row>
    <row r="18" spans="1:25" ht="144.75" customHeight="1" x14ac:dyDescent="0.25">
      <c r="A18" s="60" t="s">
        <v>36</v>
      </c>
      <c r="B18" s="61" t="s">
        <v>309</v>
      </c>
      <c r="C18" s="89" t="s">
        <v>222</v>
      </c>
      <c r="D18" s="112" t="s">
        <v>282</v>
      </c>
      <c r="E18" s="92">
        <v>43839</v>
      </c>
      <c r="F18" s="92">
        <v>44196</v>
      </c>
      <c r="G18" s="92">
        <v>43839</v>
      </c>
      <c r="H18" s="92">
        <v>44196</v>
      </c>
      <c r="I18" s="103">
        <v>79.900000000000006</v>
      </c>
      <c r="J18" s="103">
        <v>79.900000000000006</v>
      </c>
      <c r="K18" s="103">
        <v>264.10000000000002</v>
      </c>
      <c r="L18" s="103">
        <f>392.9-J18</f>
        <v>313</v>
      </c>
      <c r="M18" s="103">
        <v>198.1</v>
      </c>
      <c r="N18" s="103">
        <f>611.5-L18-J18</f>
        <v>218.6</v>
      </c>
      <c r="O18" s="103">
        <v>840.9</v>
      </c>
      <c r="P18" s="103">
        <f>870.5-N18-L18-J18</f>
        <v>259</v>
      </c>
      <c r="Q18" s="57" t="s">
        <v>510</v>
      </c>
      <c r="R18" s="79">
        <f t="shared" si="2"/>
        <v>1383</v>
      </c>
      <c r="S18" s="79"/>
      <c r="T18" s="6">
        <f>503-J18</f>
        <v>423.1</v>
      </c>
      <c r="U18" s="5">
        <f t="shared" si="3"/>
        <v>392.9</v>
      </c>
      <c r="V18" s="5">
        <v>771</v>
      </c>
      <c r="X18" s="6">
        <f t="shared" si="0"/>
        <v>378.1</v>
      </c>
      <c r="Y18" s="6">
        <f t="shared" si="1"/>
        <v>159.50000000000003</v>
      </c>
    </row>
    <row r="19" spans="1:25" ht="138.75" customHeight="1" x14ac:dyDescent="0.25">
      <c r="A19" s="60" t="s">
        <v>38</v>
      </c>
      <c r="B19" s="61" t="s">
        <v>39</v>
      </c>
      <c r="C19" s="89" t="s">
        <v>222</v>
      </c>
      <c r="D19" s="112" t="s">
        <v>282</v>
      </c>
      <c r="E19" s="92" t="s">
        <v>355</v>
      </c>
      <c r="F19" s="92">
        <v>44196</v>
      </c>
      <c r="G19" s="92" t="s">
        <v>355</v>
      </c>
      <c r="H19" s="92">
        <v>44196</v>
      </c>
      <c r="I19" s="103">
        <v>527.4</v>
      </c>
      <c r="J19" s="103">
        <v>527.4</v>
      </c>
      <c r="K19" s="103">
        <v>456.7</v>
      </c>
      <c r="L19" s="103">
        <f>1000.2-J19</f>
        <v>472.80000000000007</v>
      </c>
      <c r="M19" s="103">
        <v>665.8</v>
      </c>
      <c r="N19" s="103">
        <f>1665.9-L19-J19</f>
        <v>665.69999999999993</v>
      </c>
      <c r="O19" s="103">
        <v>1242.9000000000001</v>
      </c>
      <c r="P19" s="103">
        <f>2816.9-N19-L19-J19</f>
        <v>1151</v>
      </c>
      <c r="Q19" s="57" t="s">
        <v>511</v>
      </c>
      <c r="R19" s="79">
        <f t="shared" si="2"/>
        <v>2892.8</v>
      </c>
      <c r="S19" s="79"/>
      <c r="T19" s="5">
        <f>1439.4-J19</f>
        <v>912.00000000000011</v>
      </c>
      <c r="U19" s="5">
        <f t="shared" si="3"/>
        <v>1000.2</v>
      </c>
      <c r="V19" s="5">
        <v>2232.4</v>
      </c>
      <c r="X19" s="6">
        <f t="shared" si="0"/>
        <v>1232.1999999999998</v>
      </c>
      <c r="Y19" s="6">
        <f t="shared" si="1"/>
        <v>566.49999999999989</v>
      </c>
    </row>
    <row r="20" spans="1:25" ht="183.75" customHeight="1" x14ac:dyDescent="0.25">
      <c r="A20" s="112"/>
      <c r="B20" s="61" t="s">
        <v>323</v>
      </c>
      <c r="C20" s="89" t="s">
        <v>222</v>
      </c>
      <c r="D20" s="112" t="s">
        <v>282</v>
      </c>
      <c r="E20" s="92"/>
      <c r="F20" s="92" t="s">
        <v>356</v>
      </c>
      <c r="G20" s="88" t="s">
        <v>137</v>
      </c>
      <c r="H20" s="162" t="s">
        <v>508</v>
      </c>
      <c r="I20" s="88" t="s">
        <v>137</v>
      </c>
      <c r="J20" s="88" t="s">
        <v>137</v>
      </c>
      <c r="K20" s="88" t="s">
        <v>137</v>
      </c>
      <c r="L20" s="88" t="s">
        <v>137</v>
      </c>
      <c r="M20" s="88" t="s">
        <v>137</v>
      </c>
      <c r="N20" s="88" t="s">
        <v>137</v>
      </c>
      <c r="O20" s="88" t="s">
        <v>137</v>
      </c>
      <c r="P20" s="88" t="s">
        <v>137</v>
      </c>
      <c r="Q20" s="88" t="s">
        <v>137</v>
      </c>
      <c r="R20" s="79" t="e">
        <f t="shared" si="2"/>
        <v>#VALUE!</v>
      </c>
      <c r="S20" s="79"/>
      <c r="U20" s="5" t="e">
        <f t="shared" si="3"/>
        <v>#VALUE!</v>
      </c>
      <c r="X20" s="6" t="e">
        <f t="shared" si="0"/>
        <v>#VALUE!</v>
      </c>
      <c r="Y20" s="6" t="e">
        <f t="shared" si="1"/>
        <v>#VALUE!</v>
      </c>
    </row>
    <row r="21" spans="1:25" ht="165.75" customHeight="1" x14ac:dyDescent="0.25">
      <c r="A21" s="112"/>
      <c r="B21" s="61" t="s">
        <v>324</v>
      </c>
      <c r="C21" s="89" t="s">
        <v>222</v>
      </c>
      <c r="D21" s="112" t="s">
        <v>282</v>
      </c>
      <c r="E21" s="92" t="s">
        <v>137</v>
      </c>
      <c r="F21" s="92">
        <v>43882</v>
      </c>
      <c r="G21" s="88" t="s">
        <v>137</v>
      </c>
      <c r="H21" s="92">
        <v>43882</v>
      </c>
      <c r="I21" s="88" t="s">
        <v>137</v>
      </c>
      <c r="J21" s="88" t="s">
        <v>137</v>
      </c>
      <c r="K21" s="88" t="s">
        <v>137</v>
      </c>
      <c r="L21" s="88" t="s">
        <v>137</v>
      </c>
      <c r="M21" s="88" t="s">
        <v>137</v>
      </c>
      <c r="N21" s="88" t="s">
        <v>137</v>
      </c>
      <c r="O21" s="88" t="s">
        <v>137</v>
      </c>
      <c r="P21" s="88" t="s">
        <v>137</v>
      </c>
      <c r="Q21" s="88" t="s">
        <v>137</v>
      </c>
      <c r="R21" s="79" t="e">
        <f t="shared" si="2"/>
        <v>#VALUE!</v>
      </c>
      <c r="S21" s="79"/>
      <c r="U21" s="5" t="e">
        <f t="shared" si="3"/>
        <v>#VALUE!</v>
      </c>
      <c r="X21" s="6" t="e">
        <f t="shared" si="0"/>
        <v>#VALUE!</v>
      </c>
      <c r="Y21" s="6" t="e">
        <f t="shared" si="1"/>
        <v>#VALUE!</v>
      </c>
    </row>
    <row r="22" spans="1:25" ht="178.5" customHeight="1" x14ac:dyDescent="0.25">
      <c r="A22" s="112"/>
      <c r="B22" s="61" t="s">
        <v>325</v>
      </c>
      <c r="C22" s="89" t="s">
        <v>222</v>
      </c>
      <c r="D22" s="112" t="s">
        <v>282</v>
      </c>
      <c r="E22" s="92" t="s">
        <v>137</v>
      </c>
      <c r="F22" s="92">
        <v>43902</v>
      </c>
      <c r="G22" s="88" t="s">
        <v>137</v>
      </c>
      <c r="H22" s="92">
        <v>43902</v>
      </c>
      <c r="I22" s="88" t="s">
        <v>137</v>
      </c>
      <c r="J22" s="88" t="s">
        <v>137</v>
      </c>
      <c r="K22" s="88" t="s">
        <v>137</v>
      </c>
      <c r="L22" s="88" t="s">
        <v>137</v>
      </c>
      <c r="M22" s="88" t="s">
        <v>137</v>
      </c>
      <c r="N22" s="88" t="s">
        <v>137</v>
      </c>
      <c r="O22" s="88" t="s">
        <v>137</v>
      </c>
      <c r="P22" s="88" t="s">
        <v>137</v>
      </c>
      <c r="Q22" s="88" t="s">
        <v>137</v>
      </c>
      <c r="R22" s="79" t="e">
        <f t="shared" si="2"/>
        <v>#VALUE!</v>
      </c>
      <c r="S22" s="79"/>
      <c r="U22" s="5" t="e">
        <f t="shared" si="3"/>
        <v>#VALUE!</v>
      </c>
      <c r="X22" s="6" t="e">
        <f t="shared" si="0"/>
        <v>#VALUE!</v>
      </c>
      <c r="Y22" s="6" t="e">
        <f t="shared" si="1"/>
        <v>#VALUE!</v>
      </c>
    </row>
    <row r="23" spans="1:25" ht="202.5" customHeight="1" x14ac:dyDescent="0.25">
      <c r="A23" s="60" t="s">
        <v>40</v>
      </c>
      <c r="B23" s="61" t="s">
        <v>41</v>
      </c>
      <c r="C23" s="89" t="s">
        <v>222</v>
      </c>
      <c r="D23" s="112" t="s">
        <v>400</v>
      </c>
      <c r="E23" s="92">
        <v>43839</v>
      </c>
      <c r="F23" s="92">
        <v>44196</v>
      </c>
      <c r="G23" s="92">
        <v>43839</v>
      </c>
      <c r="H23" s="92">
        <v>44196</v>
      </c>
      <c r="I23" s="103">
        <v>709</v>
      </c>
      <c r="J23" s="111">
        <v>717.3</v>
      </c>
      <c r="K23" s="111">
        <v>2025.8</v>
      </c>
      <c r="L23" s="111">
        <f>2750.4-J23</f>
        <v>2033.1000000000001</v>
      </c>
      <c r="M23" s="111">
        <v>2397.1999999999998</v>
      </c>
      <c r="N23" s="103">
        <f>5191.7-L23-J23</f>
        <v>2441.2999999999993</v>
      </c>
      <c r="O23" s="111">
        <v>3027.6</v>
      </c>
      <c r="P23" s="103">
        <f>7979.2-N23-L23-J23</f>
        <v>2787.5</v>
      </c>
      <c r="Q23" s="57" t="s">
        <v>512</v>
      </c>
      <c r="R23" s="79">
        <f t="shared" si="2"/>
        <v>8159.6</v>
      </c>
      <c r="S23" s="79"/>
      <c r="T23" s="5">
        <f>3490.4-J23</f>
        <v>2773.1000000000004</v>
      </c>
      <c r="U23" s="5">
        <f t="shared" ref="U23:U51" si="4">J23+L23</f>
        <v>2750.4</v>
      </c>
      <c r="V23" s="5">
        <v>6606.8</v>
      </c>
      <c r="X23" s="6">
        <f t="shared" ref="X23:X51" si="5">V23-J23-L23</f>
        <v>3856.3999999999996</v>
      </c>
      <c r="Y23" s="6">
        <f t="shared" ref="Y23:Y51" si="6">X23-N23</f>
        <v>1415.1000000000004</v>
      </c>
    </row>
    <row r="24" spans="1:25" ht="220.5" customHeight="1" x14ac:dyDescent="0.25">
      <c r="A24" s="112"/>
      <c r="B24" s="61" t="s">
        <v>326</v>
      </c>
      <c r="C24" s="89" t="s">
        <v>222</v>
      </c>
      <c r="D24" s="112" t="s">
        <v>400</v>
      </c>
      <c r="E24" s="92" t="s">
        <v>137</v>
      </c>
      <c r="F24" s="92">
        <v>43959</v>
      </c>
      <c r="G24" s="88" t="s">
        <v>137</v>
      </c>
      <c r="H24" s="92">
        <v>43902</v>
      </c>
      <c r="I24" s="88" t="s">
        <v>137</v>
      </c>
      <c r="J24" s="88" t="s">
        <v>137</v>
      </c>
      <c r="K24" s="88" t="s">
        <v>137</v>
      </c>
      <c r="L24" s="88" t="s">
        <v>137</v>
      </c>
      <c r="M24" s="88" t="s">
        <v>137</v>
      </c>
      <c r="N24" s="88" t="s">
        <v>137</v>
      </c>
      <c r="O24" s="88" t="s">
        <v>137</v>
      </c>
      <c r="P24" s="88" t="s">
        <v>137</v>
      </c>
      <c r="Q24" s="88" t="s">
        <v>137</v>
      </c>
      <c r="R24" s="79" t="e">
        <f t="shared" si="2"/>
        <v>#VALUE!</v>
      </c>
      <c r="S24" s="79"/>
      <c r="U24" s="5" t="e">
        <f t="shared" si="4"/>
        <v>#VALUE!</v>
      </c>
      <c r="X24" s="6" t="e">
        <f t="shared" si="5"/>
        <v>#VALUE!</v>
      </c>
      <c r="Y24" s="6" t="e">
        <f t="shared" si="6"/>
        <v>#VALUE!</v>
      </c>
    </row>
    <row r="25" spans="1:25" ht="263.25" customHeight="1" x14ac:dyDescent="0.25">
      <c r="A25" s="112"/>
      <c r="B25" s="61" t="s">
        <v>327</v>
      </c>
      <c r="C25" s="89" t="s">
        <v>222</v>
      </c>
      <c r="D25" s="112" t="s">
        <v>400</v>
      </c>
      <c r="E25" s="92" t="s">
        <v>137</v>
      </c>
      <c r="F25" s="92">
        <v>44026</v>
      </c>
      <c r="G25" s="88" t="s">
        <v>137</v>
      </c>
      <c r="H25" s="161">
        <v>44026</v>
      </c>
      <c r="I25" s="88" t="s">
        <v>137</v>
      </c>
      <c r="J25" s="88" t="s">
        <v>137</v>
      </c>
      <c r="K25" s="88" t="s">
        <v>137</v>
      </c>
      <c r="L25" s="88" t="s">
        <v>137</v>
      </c>
      <c r="M25" s="88" t="s">
        <v>137</v>
      </c>
      <c r="N25" s="88" t="s">
        <v>137</v>
      </c>
      <c r="O25" s="88" t="s">
        <v>137</v>
      </c>
      <c r="P25" s="88" t="s">
        <v>137</v>
      </c>
      <c r="Q25" s="88" t="s">
        <v>137</v>
      </c>
      <c r="R25" s="79" t="e">
        <f t="shared" si="2"/>
        <v>#VALUE!</v>
      </c>
      <c r="S25" s="79"/>
      <c r="U25" s="5" t="e">
        <f t="shared" si="4"/>
        <v>#VALUE!</v>
      </c>
      <c r="X25" s="6" t="e">
        <f t="shared" si="5"/>
        <v>#VALUE!</v>
      </c>
      <c r="Y25" s="6" t="e">
        <f t="shared" si="6"/>
        <v>#VALUE!</v>
      </c>
    </row>
    <row r="26" spans="1:25" ht="340.5" customHeight="1" x14ac:dyDescent="0.25">
      <c r="A26" s="60" t="s">
        <v>42</v>
      </c>
      <c r="B26" s="61" t="s">
        <v>43</v>
      </c>
      <c r="C26" s="89" t="s">
        <v>222</v>
      </c>
      <c r="D26" s="112" t="s">
        <v>400</v>
      </c>
      <c r="E26" s="92">
        <v>43839</v>
      </c>
      <c r="F26" s="92">
        <v>44196</v>
      </c>
      <c r="G26" s="92">
        <v>43839</v>
      </c>
      <c r="H26" s="92">
        <v>44196</v>
      </c>
      <c r="I26" s="103">
        <v>632.29999999999995</v>
      </c>
      <c r="J26" s="103">
        <v>724.2</v>
      </c>
      <c r="K26" s="111">
        <v>1706.8</v>
      </c>
      <c r="L26" s="103">
        <f>2351.6-J26</f>
        <v>1627.3999999999999</v>
      </c>
      <c r="M26" s="111">
        <v>13411.1</v>
      </c>
      <c r="N26" s="103">
        <f>16051.8-L26-J26</f>
        <v>13700.199999999999</v>
      </c>
      <c r="O26" s="111">
        <v>8600.9</v>
      </c>
      <c r="P26" s="103">
        <f>22789.3-N26-L26-J26</f>
        <v>6737.5000000000009</v>
      </c>
      <c r="Q26" s="57" t="s">
        <v>543</v>
      </c>
      <c r="R26" s="79">
        <f t="shared" si="2"/>
        <v>24351.1</v>
      </c>
      <c r="S26" s="79"/>
      <c r="T26" s="6">
        <f>7350.9-J26</f>
        <v>6626.7</v>
      </c>
      <c r="U26" s="5">
        <f t="shared" si="4"/>
        <v>2351.6</v>
      </c>
      <c r="V26" s="5">
        <v>24997.7</v>
      </c>
      <c r="X26" s="6">
        <f t="shared" si="5"/>
        <v>22646.1</v>
      </c>
      <c r="Y26" s="6">
        <f t="shared" si="6"/>
        <v>8945.9</v>
      </c>
    </row>
    <row r="27" spans="1:25" ht="213" customHeight="1" x14ac:dyDescent="0.25">
      <c r="A27" s="112"/>
      <c r="B27" s="61" t="s">
        <v>328</v>
      </c>
      <c r="C27" s="89" t="s">
        <v>222</v>
      </c>
      <c r="D27" s="112" t="s">
        <v>400</v>
      </c>
      <c r="E27" s="92" t="s">
        <v>137</v>
      </c>
      <c r="F27" s="92">
        <v>43959</v>
      </c>
      <c r="G27" s="88" t="s">
        <v>137</v>
      </c>
      <c r="H27" s="92">
        <v>43902</v>
      </c>
      <c r="I27" s="88" t="s">
        <v>137</v>
      </c>
      <c r="J27" s="88" t="s">
        <v>137</v>
      </c>
      <c r="K27" s="88" t="s">
        <v>137</v>
      </c>
      <c r="L27" s="88" t="s">
        <v>137</v>
      </c>
      <c r="M27" s="88" t="s">
        <v>137</v>
      </c>
      <c r="N27" s="88" t="s">
        <v>137</v>
      </c>
      <c r="O27" s="88" t="s">
        <v>137</v>
      </c>
      <c r="P27" s="88" t="s">
        <v>137</v>
      </c>
      <c r="Q27" s="88" t="s">
        <v>137</v>
      </c>
      <c r="R27" s="79" t="e">
        <f t="shared" si="2"/>
        <v>#VALUE!</v>
      </c>
      <c r="S27" s="79"/>
      <c r="U27" s="5" t="e">
        <f t="shared" si="4"/>
        <v>#VALUE!</v>
      </c>
      <c r="X27" s="6" t="e">
        <f t="shared" si="5"/>
        <v>#VALUE!</v>
      </c>
      <c r="Y27" s="6" t="e">
        <f t="shared" si="6"/>
        <v>#VALUE!</v>
      </c>
    </row>
    <row r="28" spans="1:25" ht="206.25" customHeight="1" x14ac:dyDescent="0.25">
      <c r="A28" s="112"/>
      <c r="B28" s="61" t="s">
        <v>342</v>
      </c>
      <c r="C28" s="89" t="s">
        <v>222</v>
      </c>
      <c r="D28" s="112" t="s">
        <v>400</v>
      </c>
      <c r="E28" s="92" t="s">
        <v>137</v>
      </c>
      <c r="F28" s="161" t="s">
        <v>439</v>
      </c>
      <c r="G28" s="88" t="s">
        <v>137</v>
      </c>
      <c r="H28" s="161" t="s">
        <v>439</v>
      </c>
      <c r="I28" s="88" t="s">
        <v>137</v>
      </c>
      <c r="J28" s="88" t="s">
        <v>137</v>
      </c>
      <c r="K28" s="88" t="s">
        <v>137</v>
      </c>
      <c r="L28" s="88" t="s">
        <v>137</v>
      </c>
      <c r="M28" s="88" t="s">
        <v>137</v>
      </c>
      <c r="N28" s="88" t="s">
        <v>137</v>
      </c>
      <c r="O28" s="88" t="s">
        <v>137</v>
      </c>
      <c r="P28" s="88" t="s">
        <v>137</v>
      </c>
      <c r="Q28" s="88" t="s">
        <v>137</v>
      </c>
      <c r="R28" s="79" t="e">
        <f t="shared" si="2"/>
        <v>#VALUE!</v>
      </c>
      <c r="S28" s="79"/>
      <c r="U28" s="5" t="e">
        <f t="shared" si="4"/>
        <v>#VALUE!</v>
      </c>
      <c r="X28" s="6" t="e">
        <f t="shared" si="5"/>
        <v>#VALUE!</v>
      </c>
      <c r="Y28" s="6" t="e">
        <f t="shared" si="6"/>
        <v>#VALUE!</v>
      </c>
    </row>
    <row r="29" spans="1:25" ht="409.6" customHeight="1" x14ac:dyDescent="0.25">
      <c r="A29" s="60" t="s">
        <v>223</v>
      </c>
      <c r="B29" s="61" t="s">
        <v>310</v>
      </c>
      <c r="C29" s="89" t="s">
        <v>222</v>
      </c>
      <c r="D29" s="112" t="s">
        <v>400</v>
      </c>
      <c r="E29" s="92">
        <v>43839</v>
      </c>
      <c r="F29" s="92">
        <v>44196</v>
      </c>
      <c r="G29" s="92">
        <v>43839</v>
      </c>
      <c r="H29" s="92">
        <v>44196</v>
      </c>
      <c r="I29" s="111">
        <v>2690.4</v>
      </c>
      <c r="J29" s="103">
        <v>3268</v>
      </c>
      <c r="K29" s="111">
        <v>3178.3</v>
      </c>
      <c r="L29" s="103">
        <f>6742.1-J29</f>
        <v>3474.1000000000004</v>
      </c>
      <c r="M29" s="111">
        <v>18248.7</v>
      </c>
      <c r="N29" s="103">
        <f>24990.7-L29-J29</f>
        <v>18248.599999999999</v>
      </c>
      <c r="O29" s="103">
        <v>39383.5</v>
      </c>
      <c r="P29" s="103">
        <f>63140.7-N29-L29-J29</f>
        <v>38150</v>
      </c>
      <c r="Q29" s="57" t="s">
        <v>513</v>
      </c>
      <c r="R29" s="79">
        <f t="shared" si="2"/>
        <v>63500.9</v>
      </c>
      <c r="S29" s="79"/>
      <c r="T29" s="5" t="s">
        <v>302</v>
      </c>
      <c r="U29" s="5">
        <f t="shared" si="4"/>
        <v>6742.1</v>
      </c>
      <c r="V29" s="5">
        <v>34396.800000000003</v>
      </c>
      <c r="X29" s="6">
        <f t="shared" si="5"/>
        <v>27654.700000000004</v>
      </c>
      <c r="Y29" s="6">
        <f t="shared" si="6"/>
        <v>9406.1000000000058</v>
      </c>
    </row>
    <row r="30" spans="1:25" ht="175.5" customHeight="1" x14ac:dyDescent="0.25">
      <c r="A30" s="112"/>
      <c r="B30" s="61" t="s">
        <v>329</v>
      </c>
      <c r="C30" s="89" t="s">
        <v>222</v>
      </c>
      <c r="D30" s="112" t="s">
        <v>400</v>
      </c>
      <c r="E30" s="92" t="s">
        <v>137</v>
      </c>
      <c r="F30" s="92">
        <v>44026</v>
      </c>
      <c r="G30" s="88" t="s">
        <v>137</v>
      </c>
      <c r="H30" s="161">
        <v>44026</v>
      </c>
      <c r="I30" s="88" t="s">
        <v>137</v>
      </c>
      <c r="J30" s="88" t="s">
        <v>137</v>
      </c>
      <c r="K30" s="88" t="s">
        <v>137</v>
      </c>
      <c r="L30" s="88" t="s">
        <v>137</v>
      </c>
      <c r="M30" s="88" t="s">
        <v>137</v>
      </c>
      <c r="N30" s="88" t="s">
        <v>137</v>
      </c>
      <c r="O30" s="88" t="s">
        <v>137</v>
      </c>
      <c r="P30" s="88" t="s">
        <v>137</v>
      </c>
      <c r="Q30" s="88" t="s">
        <v>137</v>
      </c>
      <c r="R30" s="79" t="e">
        <f t="shared" si="2"/>
        <v>#VALUE!</v>
      </c>
      <c r="S30" s="79"/>
      <c r="U30" s="5" t="e">
        <f t="shared" si="4"/>
        <v>#VALUE!</v>
      </c>
      <c r="X30" s="6" t="e">
        <f t="shared" si="5"/>
        <v>#VALUE!</v>
      </c>
      <c r="Y30" s="6" t="e">
        <f t="shared" si="6"/>
        <v>#VALUE!</v>
      </c>
    </row>
    <row r="31" spans="1:25" ht="169.5" customHeight="1" x14ac:dyDescent="0.25">
      <c r="A31" s="60" t="s">
        <v>84</v>
      </c>
      <c r="B31" s="61" t="s">
        <v>341</v>
      </c>
      <c r="C31" s="89" t="s">
        <v>222</v>
      </c>
      <c r="D31" s="112" t="s">
        <v>284</v>
      </c>
      <c r="E31" s="92">
        <v>43839</v>
      </c>
      <c r="F31" s="92">
        <v>44196</v>
      </c>
      <c r="G31" s="92">
        <v>43839</v>
      </c>
      <c r="H31" s="161">
        <v>44196</v>
      </c>
      <c r="I31" s="88" t="s">
        <v>137</v>
      </c>
      <c r="J31" s="88" t="s">
        <v>137</v>
      </c>
      <c r="K31" s="88" t="s">
        <v>137</v>
      </c>
      <c r="L31" s="88" t="s">
        <v>137</v>
      </c>
      <c r="M31" s="88" t="s">
        <v>137</v>
      </c>
      <c r="N31" s="88" t="s">
        <v>137</v>
      </c>
      <c r="O31" s="88" t="s">
        <v>137</v>
      </c>
      <c r="P31" s="88" t="s">
        <v>137</v>
      </c>
      <c r="Q31" s="88" t="s">
        <v>137</v>
      </c>
      <c r="R31" s="79" t="e">
        <f t="shared" si="2"/>
        <v>#VALUE!</v>
      </c>
      <c r="S31" s="79"/>
      <c r="U31" s="5" t="e">
        <f t="shared" si="4"/>
        <v>#VALUE!</v>
      </c>
      <c r="X31" s="6" t="e">
        <f t="shared" si="5"/>
        <v>#VALUE!</v>
      </c>
      <c r="Y31" s="6" t="e">
        <f t="shared" si="6"/>
        <v>#VALUE!</v>
      </c>
    </row>
    <row r="32" spans="1:25" ht="141" customHeight="1" x14ac:dyDescent="0.25">
      <c r="A32" s="60" t="s">
        <v>243</v>
      </c>
      <c r="B32" s="61" t="s">
        <v>248</v>
      </c>
      <c r="C32" s="89" t="s">
        <v>222</v>
      </c>
      <c r="D32" s="112" t="s">
        <v>283</v>
      </c>
      <c r="E32" s="92">
        <v>43839</v>
      </c>
      <c r="F32" s="92">
        <v>44196</v>
      </c>
      <c r="G32" s="92">
        <v>43839</v>
      </c>
      <c r="H32" s="92">
        <v>44196</v>
      </c>
      <c r="I32" s="103">
        <f t="shared" ref="I32:J32" si="7">I33+I34</f>
        <v>0</v>
      </c>
      <c r="J32" s="103">
        <f t="shared" si="7"/>
        <v>0</v>
      </c>
      <c r="K32" s="103">
        <v>0</v>
      </c>
      <c r="L32" s="103">
        <f t="shared" ref="L32:P32" si="8">L33+L34</f>
        <v>0</v>
      </c>
      <c r="M32" s="103">
        <v>2788.2</v>
      </c>
      <c r="N32" s="103">
        <v>3156.3</v>
      </c>
      <c r="O32" s="103">
        <v>6975.5</v>
      </c>
      <c r="P32" s="103">
        <f t="shared" si="8"/>
        <v>6607.4</v>
      </c>
      <c r="Q32" s="111" t="s">
        <v>137</v>
      </c>
      <c r="R32" s="79">
        <f t="shared" si="2"/>
        <v>9763.7000000000007</v>
      </c>
      <c r="S32" s="79"/>
      <c r="U32" s="5">
        <f t="shared" si="4"/>
        <v>0</v>
      </c>
      <c r="V32" s="5">
        <f>V33+V34</f>
        <v>1016.4</v>
      </c>
      <c r="X32" s="6">
        <f t="shared" si="5"/>
        <v>1016.4</v>
      </c>
      <c r="Y32" s="6">
        <f t="shared" si="6"/>
        <v>-2139.9</v>
      </c>
    </row>
    <row r="33" spans="1:25" x14ac:dyDescent="0.25">
      <c r="A33" s="60"/>
      <c r="B33" s="61" t="s">
        <v>227</v>
      </c>
      <c r="C33" s="89"/>
      <c r="D33" s="112"/>
      <c r="E33" s="92"/>
      <c r="F33" s="92"/>
      <c r="G33" s="92"/>
      <c r="H33" s="92"/>
      <c r="I33" s="103">
        <v>0</v>
      </c>
      <c r="J33" s="103">
        <v>0</v>
      </c>
      <c r="K33" s="103">
        <v>0</v>
      </c>
      <c r="L33" s="103">
        <v>0</v>
      </c>
      <c r="M33" s="103">
        <v>111.5</v>
      </c>
      <c r="N33" s="103">
        <f>N32-N34</f>
        <v>479.60000000000036</v>
      </c>
      <c r="O33" s="103">
        <v>6764.5</v>
      </c>
      <c r="P33" s="103">
        <f>6876-N33</f>
        <v>6396.4</v>
      </c>
      <c r="Q33" s="111"/>
      <c r="R33" s="79">
        <f t="shared" si="2"/>
        <v>6876</v>
      </c>
      <c r="S33" s="79"/>
      <c r="U33" s="5">
        <f t="shared" si="4"/>
        <v>0</v>
      </c>
      <c r="V33" s="5">
        <v>53.5</v>
      </c>
      <c r="X33" s="6">
        <f t="shared" si="5"/>
        <v>53.5</v>
      </c>
      <c r="Y33" s="6">
        <f t="shared" si="6"/>
        <v>-426.10000000000036</v>
      </c>
    </row>
    <row r="34" spans="1:25" x14ac:dyDescent="0.25">
      <c r="A34" s="60"/>
      <c r="B34" s="61" t="s">
        <v>225</v>
      </c>
      <c r="C34" s="89"/>
      <c r="D34" s="112"/>
      <c r="E34" s="92"/>
      <c r="F34" s="92"/>
      <c r="G34" s="92"/>
      <c r="H34" s="92"/>
      <c r="I34" s="103">
        <v>0</v>
      </c>
      <c r="J34" s="103">
        <v>0</v>
      </c>
      <c r="K34" s="103">
        <v>0</v>
      </c>
      <c r="L34" s="103">
        <v>0</v>
      </c>
      <c r="M34" s="103">
        <v>2676.7</v>
      </c>
      <c r="N34" s="103">
        <v>2676.7</v>
      </c>
      <c r="O34" s="103">
        <v>211</v>
      </c>
      <c r="P34" s="103">
        <f>2887.7-N34</f>
        <v>211</v>
      </c>
      <c r="Q34" s="111"/>
      <c r="R34" s="79">
        <f t="shared" si="2"/>
        <v>2887.7</v>
      </c>
      <c r="S34" s="79"/>
      <c r="U34" s="5">
        <f t="shared" si="4"/>
        <v>0</v>
      </c>
      <c r="V34" s="5">
        <v>962.9</v>
      </c>
      <c r="X34" s="6">
        <f t="shared" si="5"/>
        <v>962.9</v>
      </c>
      <c r="Y34" s="6">
        <f t="shared" si="6"/>
        <v>-1713.7999999999997</v>
      </c>
    </row>
    <row r="35" spans="1:25" s="43" customFormat="1" ht="270.75" customHeight="1" x14ac:dyDescent="0.25">
      <c r="A35" s="60" t="s">
        <v>428</v>
      </c>
      <c r="B35" s="147" t="s">
        <v>446</v>
      </c>
      <c r="C35" s="89"/>
      <c r="D35" s="112" t="s">
        <v>283</v>
      </c>
      <c r="E35" s="92">
        <v>44075</v>
      </c>
      <c r="F35" s="92">
        <v>44196</v>
      </c>
      <c r="G35" s="92">
        <v>44075</v>
      </c>
      <c r="H35" s="92">
        <v>44196</v>
      </c>
      <c r="I35" s="103">
        <v>0</v>
      </c>
      <c r="J35" s="103">
        <v>0</v>
      </c>
      <c r="K35" s="103">
        <v>0</v>
      </c>
      <c r="L35" s="103">
        <v>0</v>
      </c>
      <c r="M35" s="103">
        <v>0</v>
      </c>
      <c r="N35" s="103">
        <v>0</v>
      </c>
      <c r="O35" s="103">
        <v>133500.5</v>
      </c>
      <c r="P35" s="103">
        <f>P36+P37</f>
        <v>24701.9</v>
      </c>
      <c r="Q35" s="57" t="s">
        <v>526</v>
      </c>
      <c r="R35" s="79">
        <f t="shared" si="2"/>
        <v>133500.5</v>
      </c>
      <c r="S35" s="79"/>
      <c r="X35" s="6"/>
      <c r="Y35" s="6"/>
    </row>
    <row r="36" spans="1:25" s="43" customFormat="1" ht="14.25" customHeight="1" x14ac:dyDescent="0.25">
      <c r="A36" s="60"/>
      <c r="B36" s="61" t="s">
        <v>227</v>
      </c>
      <c r="C36" s="89"/>
      <c r="D36" s="112"/>
      <c r="E36" s="92"/>
      <c r="F36" s="92"/>
      <c r="G36" s="92"/>
      <c r="H36" s="92"/>
      <c r="I36" s="103">
        <v>0</v>
      </c>
      <c r="J36" s="103">
        <v>0</v>
      </c>
      <c r="K36" s="103">
        <v>0</v>
      </c>
      <c r="L36" s="103">
        <v>0</v>
      </c>
      <c r="M36" s="103">
        <v>0</v>
      </c>
      <c r="N36" s="103">
        <v>0</v>
      </c>
      <c r="O36" s="103">
        <v>1335.1</v>
      </c>
      <c r="P36" s="103">
        <v>247</v>
      </c>
      <c r="Q36" s="111"/>
      <c r="R36" s="79">
        <f t="shared" si="2"/>
        <v>1335.1</v>
      </c>
      <c r="S36" s="79"/>
      <c r="X36" s="6"/>
      <c r="Y36" s="6"/>
    </row>
    <row r="37" spans="1:25" s="43" customFormat="1" ht="15" customHeight="1" x14ac:dyDescent="0.25">
      <c r="A37" s="60"/>
      <c r="B37" s="61" t="s">
        <v>225</v>
      </c>
      <c r="C37" s="89"/>
      <c r="D37" s="112"/>
      <c r="E37" s="92"/>
      <c r="F37" s="92"/>
      <c r="G37" s="92"/>
      <c r="H37" s="92"/>
      <c r="I37" s="103">
        <v>0</v>
      </c>
      <c r="J37" s="103">
        <v>0</v>
      </c>
      <c r="K37" s="103">
        <v>0</v>
      </c>
      <c r="L37" s="103">
        <v>0</v>
      </c>
      <c r="M37" s="103">
        <v>0</v>
      </c>
      <c r="N37" s="103">
        <v>0</v>
      </c>
      <c r="O37" s="103">
        <v>132165.4</v>
      </c>
      <c r="P37" s="103">
        <v>24454.9</v>
      </c>
      <c r="Q37" s="111"/>
      <c r="R37" s="79">
        <f t="shared" si="2"/>
        <v>132165.4</v>
      </c>
      <c r="S37" s="79"/>
      <c r="X37" s="6"/>
      <c r="Y37" s="6"/>
    </row>
    <row r="38" spans="1:25" s="43" customFormat="1" ht="219" customHeight="1" x14ac:dyDescent="0.25">
      <c r="A38" s="60"/>
      <c r="B38" s="147" t="s">
        <v>455</v>
      </c>
      <c r="C38" s="89"/>
      <c r="D38" s="112" t="s">
        <v>283</v>
      </c>
      <c r="E38" s="92">
        <v>44113</v>
      </c>
      <c r="F38" s="92" t="s">
        <v>137</v>
      </c>
      <c r="G38" s="92">
        <v>44113</v>
      </c>
      <c r="H38" s="92" t="s">
        <v>137</v>
      </c>
      <c r="I38" s="103"/>
      <c r="J38" s="103"/>
      <c r="K38" s="103"/>
      <c r="L38" s="103"/>
      <c r="M38" s="103"/>
      <c r="N38" s="103"/>
      <c r="O38" s="103"/>
      <c r="P38" s="103"/>
      <c r="Q38" s="111"/>
      <c r="R38" s="79"/>
      <c r="S38" s="79"/>
      <c r="X38" s="6"/>
      <c r="Y38" s="6"/>
    </row>
    <row r="39" spans="1:25" ht="147" customHeight="1" x14ac:dyDescent="0.25">
      <c r="A39" s="60" t="s">
        <v>44</v>
      </c>
      <c r="B39" s="61" t="s">
        <v>45</v>
      </c>
      <c r="C39" s="89" t="s">
        <v>222</v>
      </c>
      <c r="D39" s="112" t="s">
        <v>282</v>
      </c>
      <c r="E39" s="92">
        <v>43839</v>
      </c>
      <c r="F39" s="92">
        <v>44196</v>
      </c>
      <c r="G39" s="92">
        <v>43839</v>
      </c>
      <c r="H39" s="92">
        <v>44196</v>
      </c>
      <c r="I39" s="88">
        <v>283.60000000000002</v>
      </c>
      <c r="J39" s="88">
        <v>283.60000000000002</v>
      </c>
      <c r="K39" s="88">
        <v>124.4</v>
      </c>
      <c r="L39" s="88">
        <f>408-J39</f>
        <v>124.39999999999998</v>
      </c>
      <c r="M39" s="88">
        <v>619.70000000000005</v>
      </c>
      <c r="N39" s="103">
        <f>1056.9-L39-J39</f>
        <v>648.90000000000009</v>
      </c>
      <c r="O39" s="88">
        <v>597.29999999999995</v>
      </c>
      <c r="P39" s="88">
        <f>1556.2-N39-L39-J39</f>
        <v>499.29999999999995</v>
      </c>
      <c r="Q39" s="57" t="s">
        <v>511</v>
      </c>
      <c r="R39" s="79">
        <f t="shared" si="2"/>
        <v>1625</v>
      </c>
      <c r="S39" s="79"/>
      <c r="T39" s="5">
        <f>848.8-J39</f>
        <v>565.19999999999993</v>
      </c>
      <c r="U39" s="5">
        <f t="shared" si="4"/>
        <v>408</v>
      </c>
      <c r="V39" s="5">
        <v>1210</v>
      </c>
      <c r="X39" s="6">
        <f t="shared" si="5"/>
        <v>802</v>
      </c>
      <c r="Y39" s="6">
        <f t="shared" si="6"/>
        <v>153.09999999999991</v>
      </c>
    </row>
    <row r="40" spans="1:25" ht="147" customHeight="1" x14ac:dyDescent="0.25">
      <c r="A40" s="112"/>
      <c r="B40" s="61" t="s">
        <v>330</v>
      </c>
      <c r="C40" s="89" t="s">
        <v>222</v>
      </c>
      <c r="D40" s="112" t="s">
        <v>282</v>
      </c>
      <c r="E40" s="92" t="s">
        <v>137</v>
      </c>
      <c r="F40" s="92">
        <v>44084</v>
      </c>
      <c r="G40" s="88" t="s">
        <v>137</v>
      </c>
      <c r="H40" s="161">
        <v>44084</v>
      </c>
      <c r="I40" s="88" t="s">
        <v>137</v>
      </c>
      <c r="J40" s="88" t="s">
        <v>137</v>
      </c>
      <c r="K40" s="88" t="s">
        <v>137</v>
      </c>
      <c r="L40" s="88" t="s">
        <v>137</v>
      </c>
      <c r="M40" s="88" t="s">
        <v>137</v>
      </c>
      <c r="N40" s="88" t="s">
        <v>137</v>
      </c>
      <c r="O40" s="88" t="s">
        <v>137</v>
      </c>
      <c r="P40" s="88" t="s">
        <v>137</v>
      </c>
      <c r="Q40" s="88" t="s">
        <v>137</v>
      </c>
      <c r="R40" s="79" t="e">
        <f t="shared" si="2"/>
        <v>#VALUE!</v>
      </c>
      <c r="S40" s="79"/>
      <c r="U40" s="5" t="e">
        <f t="shared" si="4"/>
        <v>#VALUE!</v>
      </c>
      <c r="X40" s="6" t="e">
        <f t="shared" si="5"/>
        <v>#VALUE!</v>
      </c>
      <c r="Y40" s="6" t="e">
        <f t="shared" si="6"/>
        <v>#VALUE!</v>
      </c>
    </row>
    <row r="41" spans="1:25" s="41" customFormat="1" ht="148.5" customHeight="1" x14ac:dyDescent="0.25">
      <c r="A41" s="112"/>
      <c r="B41" s="61" t="s">
        <v>331</v>
      </c>
      <c r="C41" s="89" t="s">
        <v>222</v>
      </c>
      <c r="D41" s="113" t="s">
        <v>282</v>
      </c>
      <c r="E41" s="92" t="s">
        <v>137</v>
      </c>
      <c r="F41" s="92">
        <v>44074</v>
      </c>
      <c r="G41" s="88" t="s">
        <v>137</v>
      </c>
      <c r="H41" s="161">
        <v>44074</v>
      </c>
      <c r="I41" s="88" t="s">
        <v>137</v>
      </c>
      <c r="J41" s="88" t="s">
        <v>137</v>
      </c>
      <c r="K41" s="88" t="s">
        <v>137</v>
      </c>
      <c r="L41" s="88" t="s">
        <v>137</v>
      </c>
      <c r="M41" s="88" t="s">
        <v>137</v>
      </c>
      <c r="N41" s="88" t="s">
        <v>137</v>
      </c>
      <c r="O41" s="88" t="s">
        <v>137</v>
      </c>
      <c r="P41" s="88" t="s">
        <v>137</v>
      </c>
      <c r="Q41" s="88" t="s">
        <v>137</v>
      </c>
      <c r="R41" s="79" t="e">
        <f t="shared" si="2"/>
        <v>#VALUE!</v>
      </c>
      <c r="S41" s="79"/>
      <c r="U41" s="41" t="e">
        <f t="shared" si="4"/>
        <v>#VALUE!</v>
      </c>
      <c r="X41" s="6" t="e">
        <f t="shared" si="5"/>
        <v>#VALUE!</v>
      </c>
      <c r="Y41" s="6" t="e">
        <f t="shared" si="6"/>
        <v>#VALUE!</v>
      </c>
    </row>
    <row r="42" spans="1:25" ht="137.25" customHeight="1" x14ac:dyDescent="0.25">
      <c r="A42" s="60" t="s">
        <v>46</v>
      </c>
      <c r="B42" s="61" t="s">
        <v>47</v>
      </c>
      <c r="C42" s="89" t="s">
        <v>222</v>
      </c>
      <c r="D42" s="112" t="s">
        <v>282</v>
      </c>
      <c r="E42" s="92">
        <v>43839</v>
      </c>
      <c r="F42" s="92">
        <v>44196</v>
      </c>
      <c r="G42" s="92">
        <v>43839</v>
      </c>
      <c r="H42" s="92">
        <v>44196</v>
      </c>
      <c r="I42" s="88">
        <v>99.8</v>
      </c>
      <c r="J42" s="88">
        <v>99.8</v>
      </c>
      <c r="K42" s="88">
        <v>79.7</v>
      </c>
      <c r="L42" s="88">
        <f>182.1-J42</f>
        <v>82.3</v>
      </c>
      <c r="M42" s="88">
        <v>143.30000000000001</v>
      </c>
      <c r="N42" s="103">
        <f>328.3-L42-J42</f>
        <v>146.19999999999999</v>
      </c>
      <c r="O42" s="88">
        <v>407.2</v>
      </c>
      <c r="P42" s="88">
        <f>728.9-N42-L42-J42</f>
        <v>400.6</v>
      </c>
      <c r="Q42" s="57" t="s">
        <v>511</v>
      </c>
      <c r="R42" s="79">
        <f t="shared" si="2"/>
        <v>730</v>
      </c>
      <c r="S42" s="79"/>
      <c r="T42" s="5">
        <f>391.6-J42</f>
        <v>291.8</v>
      </c>
      <c r="U42" s="5">
        <f t="shared" si="4"/>
        <v>182.1</v>
      </c>
      <c r="V42" s="5">
        <v>516.70000000000005</v>
      </c>
      <c r="X42" s="6">
        <f t="shared" si="5"/>
        <v>334.6</v>
      </c>
      <c r="Y42" s="6">
        <f t="shared" si="6"/>
        <v>188.40000000000003</v>
      </c>
    </row>
    <row r="43" spans="1:25" ht="147" customHeight="1" x14ac:dyDescent="0.25">
      <c r="A43" s="60" t="s">
        <v>48</v>
      </c>
      <c r="B43" s="61" t="s">
        <v>49</v>
      </c>
      <c r="C43" s="89" t="s">
        <v>222</v>
      </c>
      <c r="D43" s="112" t="s">
        <v>282</v>
      </c>
      <c r="E43" s="92">
        <v>43839</v>
      </c>
      <c r="F43" s="92">
        <v>44196</v>
      </c>
      <c r="G43" s="92">
        <v>43839</v>
      </c>
      <c r="H43" s="92">
        <v>44196</v>
      </c>
      <c r="I43" s="88">
        <v>28.2</v>
      </c>
      <c r="J43" s="88">
        <v>28.2</v>
      </c>
      <c r="K43" s="88">
        <v>30.4</v>
      </c>
      <c r="L43" s="88">
        <f>60.9-J43</f>
        <v>32.700000000000003</v>
      </c>
      <c r="M43" s="88">
        <v>75.599999999999994</v>
      </c>
      <c r="N43" s="103">
        <f>138-L43-J43</f>
        <v>77.099999999999994</v>
      </c>
      <c r="O43" s="88">
        <v>135.1</v>
      </c>
      <c r="P43" s="88">
        <f>268.4-N43-L43-J43</f>
        <v>130.39999999999998</v>
      </c>
      <c r="Q43" s="57" t="s">
        <v>511</v>
      </c>
      <c r="R43" s="79">
        <f t="shared" si="2"/>
        <v>269.29999999999995</v>
      </c>
      <c r="S43" s="79"/>
      <c r="T43" s="5">
        <f>178.3-J43</f>
        <v>150.10000000000002</v>
      </c>
      <c r="U43" s="5">
        <f t="shared" si="4"/>
        <v>60.900000000000006</v>
      </c>
      <c r="V43" s="5">
        <v>210</v>
      </c>
      <c r="X43" s="6">
        <f t="shared" si="5"/>
        <v>149.10000000000002</v>
      </c>
      <c r="Y43" s="6">
        <f t="shared" si="6"/>
        <v>72.000000000000028</v>
      </c>
    </row>
    <row r="44" spans="1:25" ht="141" customHeight="1" x14ac:dyDescent="0.25">
      <c r="A44" s="60" t="s">
        <v>50</v>
      </c>
      <c r="B44" s="61" t="s">
        <v>51</v>
      </c>
      <c r="C44" s="89" t="s">
        <v>222</v>
      </c>
      <c r="D44" s="112" t="s">
        <v>282</v>
      </c>
      <c r="E44" s="92">
        <v>43839</v>
      </c>
      <c r="F44" s="92">
        <v>44196</v>
      </c>
      <c r="G44" s="92">
        <v>43839</v>
      </c>
      <c r="H44" s="92">
        <v>44196</v>
      </c>
      <c r="I44" s="88">
        <v>1783.4</v>
      </c>
      <c r="J44" s="89">
        <v>1827.1</v>
      </c>
      <c r="K44" s="88">
        <v>5199.5</v>
      </c>
      <c r="L44" s="88">
        <f>7450.6-J44</f>
        <v>5623.5</v>
      </c>
      <c r="M44" s="88">
        <v>11393.8</v>
      </c>
      <c r="N44" s="103">
        <f>19960.2-L44-J44</f>
        <v>12509.6</v>
      </c>
      <c r="O44" s="88">
        <v>26115.7</v>
      </c>
      <c r="P44" s="88">
        <f>43133.8-N44-L44-J44</f>
        <v>23173.600000000006</v>
      </c>
      <c r="Q44" s="57" t="s">
        <v>511</v>
      </c>
      <c r="R44" s="79">
        <f t="shared" si="2"/>
        <v>44492.399999999994</v>
      </c>
      <c r="S44" s="79"/>
      <c r="T44" s="5">
        <f>18181.2-J44</f>
        <v>16354.1</v>
      </c>
      <c r="U44" s="5">
        <f t="shared" si="4"/>
        <v>7450.6</v>
      </c>
      <c r="V44" s="43">
        <v>34457.4</v>
      </c>
      <c r="X44" s="6">
        <f t="shared" si="5"/>
        <v>27006.800000000003</v>
      </c>
      <c r="Y44" s="6">
        <f t="shared" si="6"/>
        <v>14497.200000000003</v>
      </c>
    </row>
    <row r="45" spans="1:25" ht="225.75" customHeight="1" x14ac:dyDescent="0.25">
      <c r="A45" s="112"/>
      <c r="B45" s="147" t="s">
        <v>456</v>
      </c>
      <c r="C45" s="89" t="s">
        <v>222</v>
      </c>
      <c r="D45" s="112" t="s">
        <v>282</v>
      </c>
      <c r="E45" s="89" t="s">
        <v>137</v>
      </c>
      <c r="F45" s="92">
        <v>43889</v>
      </c>
      <c r="G45" s="92" t="s">
        <v>137</v>
      </c>
      <c r="H45" s="92">
        <v>43889</v>
      </c>
      <c r="I45" s="88" t="s">
        <v>137</v>
      </c>
      <c r="J45" s="88" t="s">
        <v>137</v>
      </c>
      <c r="K45" s="88" t="s">
        <v>137</v>
      </c>
      <c r="L45" s="88" t="s">
        <v>137</v>
      </c>
      <c r="M45" s="88" t="s">
        <v>137</v>
      </c>
      <c r="N45" s="88" t="s">
        <v>137</v>
      </c>
      <c r="O45" s="88" t="s">
        <v>137</v>
      </c>
      <c r="P45" s="88" t="s">
        <v>137</v>
      </c>
      <c r="Q45" s="88" t="s">
        <v>137</v>
      </c>
      <c r="R45" s="79" t="e">
        <f t="shared" si="2"/>
        <v>#VALUE!</v>
      </c>
      <c r="S45" s="79"/>
      <c r="U45" s="5" t="e">
        <f t="shared" si="4"/>
        <v>#VALUE!</v>
      </c>
      <c r="X45" s="6" t="e">
        <f t="shared" si="5"/>
        <v>#VALUE!</v>
      </c>
      <c r="Y45" s="6" t="e">
        <f t="shared" si="6"/>
        <v>#VALUE!</v>
      </c>
    </row>
    <row r="46" spans="1:25" ht="182.25" customHeight="1" x14ac:dyDescent="0.25">
      <c r="A46" s="60" t="s">
        <v>244</v>
      </c>
      <c r="B46" s="61" t="s">
        <v>247</v>
      </c>
      <c r="C46" s="89" t="s">
        <v>222</v>
      </c>
      <c r="D46" s="112" t="s">
        <v>282</v>
      </c>
      <c r="E46" s="92">
        <v>43839</v>
      </c>
      <c r="F46" s="92">
        <v>44196</v>
      </c>
      <c r="G46" s="92">
        <v>43839</v>
      </c>
      <c r="H46" s="92">
        <v>44196</v>
      </c>
      <c r="I46" s="88">
        <f t="shared" ref="I46:J46" si="9">I47+I48</f>
        <v>0</v>
      </c>
      <c r="J46" s="88">
        <f t="shared" si="9"/>
        <v>0</v>
      </c>
      <c r="K46" s="88">
        <v>560.70000000000005</v>
      </c>
      <c r="L46" s="88">
        <f t="shared" ref="L46:P46" si="10">L47+L48</f>
        <v>560.69999999999993</v>
      </c>
      <c r="M46" s="88">
        <v>1735.8</v>
      </c>
      <c r="N46" s="103">
        <f>2296.6-L46</f>
        <v>1735.9</v>
      </c>
      <c r="O46" s="88">
        <v>1985.6</v>
      </c>
      <c r="P46" s="88">
        <f t="shared" si="10"/>
        <v>1985.5</v>
      </c>
      <c r="Q46" s="89" t="s">
        <v>137</v>
      </c>
      <c r="R46" s="79">
        <f t="shared" si="2"/>
        <v>4282.1000000000004</v>
      </c>
      <c r="S46" s="79"/>
      <c r="U46" s="5">
        <f t="shared" si="4"/>
        <v>560.69999999999993</v>
      </c>
      <c r="V46" s="5">
        <v>0</v>
      </c>
      <c r="X46" s="6">
        <f t="shared" si="5"/>
        <v>-560.69999999999993</v>
      </c>
      <c r="Y46" s="6">
        <f t="shared" si="6"/>
        <v>-2296.6</v>
      </c>
    </row>
    <row r="47" spans="1:25" x14ac:dyDescent="0.25">
      <c r="A47" s="60"/>
      <c r="B47" s="61" t="s">
        <v>227</v>
      </c>
      <c r="C47" s="89"/>
      <c r="D47" s="112"/>
      <c r="E47" s="92"/>
      <c r="F47" s="92"/>
      <c r="G47" s="92"/>
      <c r="H47" s="92"/>
      <c r="I47" s="111">
        <v>0</v>
      </c>
      <c r="J47" s="111">
        <v>0</v>
      </c>
      <c r="K47" s="103">
        <v>22.4</v>
      </c>
      <c r="L47" s="103">
        <v>22.4</v>
      </c>
      <c r="M47" s="103">
        <v>69.400000000000006</v>
      </c>
      <c r="N47" s="111">
        <v>69.400000000000006</v>
      </c>
      <c r="O47" s="111">
        <v>743.3</v>
      </c>
      <c r="P47" s="103">
        <f>835.1-N47-L47</f>
        <v>743.30000000000007</v>
      </c>
      <c r="Q47" s="111"/>
      <c r="R47" s="79">
        <f t="shared" si="2"/>
        <v>835.09999999999991</v>
      </c>
      <c r="S47" s="79"/>
      <c r="U47" s="5">
        <f t="shared" si="4"/>
        <v>22.4</v>
      </c>
      <c r="V47" s="5">
        <v>0</v>
      </c>
      <c r="X47" s="6">
        <f t="shared" si="5"/>
        <v>-22.4</v>
      </c>
      <c r="Y47" s="6">
        <f t="shared" si="6"/>
        <v>-91.800000000000011</v>
      </c>
    </row>
    <row r="48" spans="1:25" x14ac:dyDescent="0.25">
      <c r="A48" s="60"/>
      <c r="B48" s="61" t="s">
        <v>225</v>
      </c>
      <c r="C48" s="89"/>
      <c r="D48" s="112"/>
      <c r="E48" s="92"/>
      <c r="F48" s="92"/>
      <c r="G48" s="92"/>
      <c r="H48" s="92"/>
      <c r="I48" s="111">
        <v>0</v>
      </c>
      <c r="J48" s="111">
        <v>0</v>
      </c>
      <c r="K48" s="111">
        <v>538.29999999999995</v>
      </c>
      <c r="L48" s="111">
        <v>538.29999999999995</v>
      </c>
      <c r="M48" s="111">
        <v>1666.4</v>
      </c>
      <c r="N48" s="103">
        <v>1666.5</v>
      </c>
      <c r="O48" s="103">
        <v>1242.3</v>
      </c>
      <c r="P48" s="103">
        <f>3447-N48-L48</f>
        <v>1242.2</v>
      </c>
      <c r="Q48" s="111"/>
      <c r="R48" s="79">
        <f t="shared" si="2"/>
        <v>3447</v>
      </c>
      <c r="S48" s="79"/>
      <c r="U48" s="5">
        <f t="shared" si="4"/>
        <v>538.29999999999995</v>
      </c>
      <c r="V48" s="5">
        <v>0</v>
      </c>
      <c r="X48" s="6">
        <f t="shared" si="5"/>
        <v>-538.29999999999995</v>
      </c>
      <c r="Y48" s="6">
        <f t="shared" si="6"/>
        <v>-2204.8000000000002</v>
      </c>
    </row>
    <row r="49" spans="1:25" s="67" customFormat="1" ht="252" customHeight="1" x14ac:dyDescent="0.25">
      <c r="A49" s="115" t="s">
        <v>357</v>
      </c>
      <c r="B49" s="114" t="s">
        <v>402</v>
      </c>
      <c r="C49" s="90" t="s">
        <v>222</v>
      </c>
      <c r="D49" s="171" t="s">
        <v>282</v>
      </c>
      <c r="E49" s="117">
        <v>43839</v>
      </c>
      <c r="F49" s="117">
        <v>44196</v>
      </c>
      <c r="G49" s="117">
        <v>43839</v>
      </c>
      <c r="H49" s="117">
        <v>44196</v>
      </c>
      <c r="I49" s="91">
        <f t="shared" ref="I49" si="11">I50+I51</f>
        <v>0</v>
      </c>
      <c r="J49" s="91">
        <f t="shared" ref="J49" si="12">J50+J51</f>
        <v>0</v>
      </c>
      <c r="K49" s="91">
        <f t="shared" ref="K49" si="13">K50+K51</f>
        <v>1988.8</v>
      </c>
      <c r="L49" s="91">
        <f t="shared" ref="L49" si="14">L50+L51</f>
        <v>2385.4</v>
      </c>
      <c r="M49" s="91">
        <v>6002.8</v>
      </c>
      <c r="N49" s="118">
        <f>8265.8-L49</f>
        <v>5880.4</v>
      </c>
      <c r="O49" s="91">
        <v>10586.4</v>
      </c>
      <c r="P49" s="91">
        <f t="shared" ref="P49" si="15">P50+P51</f>
        <v>9136.0000000000018</v>
      </c>
      <c r="Q49" s="57" t="s">
        <v>514</v>
      </c>
      <c r="R49" s="79">
        <f t="shared" si="2"/>
        <v>18578</v>
      </c>
      <c r="S49" s="79"/>
      <c r="U49" s="67">
        <f t="shared" si="4"/>
        <v>2385.4</v>
      </c>
      <c r="V49" s="67">
        <f>V50+V51</f>
        <v>8173.9</v>
      </c>
      <c r="X49" s="66">
        <f t="shared" si="5"/>
        <v>5788.5</v>
      </c>
      <c r="Y49" s="66">
        <f t="shared" si="6"/>
        <v>-91.899999999999636</v>
      </c>
    </row>
    <row r="50" spans="1:25" s="67" customFormat="1" x14ac:dyDescent="0.25">
      <c r="A50" s="115"/>
      <c r="B50" s="114" t="s">
        <v>227</v>
      </c>
      <c r="C50" s="90"/>
      <c r="D50" s="116"/>
      <c r="E50" s="117"/>
      <c r="F50" s="117"/>
      <c r="G50" s="117"/>
      <c r="H50" s="117"/>
      <c r="I50" s="118">
        <v>0</v>
      </c>
      <c r="J50" s="118">
        <v>0</v>
      </c>
      <c r="K50" s="118">
        <v>79.599999999999994</v>
      </c>
      <c r="L50" s="118">
        <v>95.4</v>
      </c>
      <c r="M50" s="118">
        <v>240.1</v>
      </c>
      <c r="N50" s="118">
        <v>235.2</v>
      </c>
      <c r="O50" s="118">
        <v>2803.1</v>
      </c>
      <c r="P50" s="118">
        <f>2893.7-N50-L50</f>
        <v>2563.1</v>
      </c>
      <c r="Q50" s="119"/>
      <c r="R50" s="79">
        <f t="shared" si="2"/>
        <v>3122.7999999999997</v>
      </c>
      <c r="S50" s="79"/>
      <c r="U50" s="67">
        <f t="shared" si="4"/>
        <v>95.4</v>
      </c>
      <c r="V50" s="67">
        <v>7765.2</v>
      </c>
      <c r="X50" s="66">
        <f t="shared" si="5"/>
        <v>7669.8</v>
      </c>
      <c r="Y50" s="66">
        <f t="shared" si="6"/>
        <v>7434.6</v>
      </c>
    </row>
    <row r="51" spans="1:25" s="67" customFormat="1" x14ac:dyDescent="0.25">
      <c r="A51" s="115"/>
      <c r="B51" s="114" t="s">
        <v>225</v>
      </c>
      <c r="C51" s="90"/>
      <c r="D51" s="116"/>
      <c r="E51" s="117"/>
      <c r="F51" s="117"/>
      <c r="G51" s="117"/>
      <c r="H51" s="117"/>
      <c r="I51" s="118">
        <v>0</v>
      </c>
      <c r="J51" s="118">
        <v>0</v>
      </c>
      <c r="K51" s="118">
        <v>1909.2</v>
      </c>
      <c r="L51" s="118">
        <v>2290</v>
      </c>
      <c r="M51" s="118">
        <v>5762.7</v>
      </c>
      <c r="N51" s="118">
        <f>N49-N50</f>
        <v>5645.2</v>
      </c>
      <c r="O51" s="118">
        <v>7783.3</v>
      </c>
      <c r="P51" s="118">
        <f>14508.1-N51-L51</f>
        <v>6572.9000000000015</v>
      </c>
      <c r="Q51" s="119"/>
      <c r="R51" s="79">
        <f t="shared" si="2"/>
        <v>15455.2</v>
      </c>
      <c r="S51" s="79"/>
      <c r="U51" s="67">
        <f t="shared" si="4"/>
        <v>2290</v>
      </c>
      <c r="V51" s="67">
        <v>408.7</v>
      </c>
      <c r="X51" s="66">
        <f t="shared" si="5"/>
        <v>-1881.3</v>
      </c>
      <c r="Y51" s="66">
        <f t="shared" si="6"/>
        <v>-7526.5</v>
      </c>
    </row>
    <row r="52" spans="1:25" s="67" customFormat="1" ht="226.5" customHeight="1" x14ac:dyDescent="0.25">
      <c r="A52" s="115" t="s">
        <v>358</v>
      </c>
      <c r="B52" s="114" t="s">
        <v>403</v>
      </c>
      <c r="C52" s="90" t="s">
        <v>222</v>
      </c>
      <c r="D52" s="171" t="s">
        <v>404</v>
      </c>
      <c r="E52" s="117">
        <v>43839</v>
      </c>
      <c r="F52" s="117">
        <v>44196</v>
      </c>
      <c r="G52" s="117">
        <v>43839</v>
      </c>
      <c r="H52" s="117">
        <v>44196</v>
      </c>
      <c r="I52" s="118">
        <f t="shared" ref="I52" si="16">I53+I54</f>
        <v>0</v>
      </c>
      <c r="J52" s="118">
        <f t="shared" ref="J52" si="17">J53+J54</f>
        <v>0</v>
      </c>
      <c r="K52" s="118">
        <f t="shared" ref="K52" si="18">K53+K54</f>
        <v>4246.3999999999996</v>
      </c>
      <c r="L52" s="118">
        <f t="shared" ref="L52" si="19">L53+L54</f>
        <v>4593.5</v>
      </c>
      <c r="M52" s="118">
        <v>8307.1</v>
      </c>
      <c r="N52" s="118">
        <f>12849.4-L52</f>
        <v>8255.9</v>
      </c>
      <c r="O52" s="118">
        <v>10488.8</v>
      </c>
      <c r="P52" s="118">
        <f t="shared" ref="P52" si="20">P53+P54</f>
        <v>5221.2</v>
      </c>
      <c r="Q52" s="57" t="s">
        <v>515</v>
      </c>
      <c r="R52" s="79">
        <f t="shared" si="2"/>
        <v>23042.3</v>
      </c>
      <c r="S52" s="79"/>
      <c r="X52" s="66"/>
      <c r="Y52" s="66"/>
    </row>
    <row r="53" spans="1:25" s="67" customFormat="1" ht="16.5" customHeight="1" x14ac:dyDescent="0.25">
      <c r="A53" s="115"/>
      <c r="B53" s="114" t="s">
        <v>227</v>
      </c>
      <c r="C53" s="90"/>
      <c r="D53" s="116"/>
      <c r="E53" s="117"/>
      <c r="F53" s="117"/>
      <c r="G53" s="117"/>
      <c r="H53" s="117"/>
      <c r="I53" s="118">
        <v>0</v>
      </c>
      <c r="J53" s="118">
        <v>0</v>
      </c>
      <c r="K53" s="118">
        <v>169.9</v>
      </c>
      <c r="L53" s="118">
        <v>183.7</v>
      </c>
      <c r="M53" s="118">
        <v>332.3</v>
      </c>
      <c r="N53" s="118">
        <v>330.2</v>
      </c>
      <c r="O53" s="118">
        <v>5891.1</v>
      </c>
      <c r="P53" s="118">
        <f>2771.7-N53-L53</f>
        <v>2257.8000000000002</v>
      </c>
      <c r="Q53" s="119"/>
      <c r="R53" s="79">
        <f t="shared" si="2"/>
        <v>6393.3</v>
      </c>
      <c r="S53" s="79"/>
      <c r="X53" s="66"/>
      <c r="Y53" s="66"/>
    </row>
    <row r="54" spans="1:25" s="67" customFormat="1" ht="15" customHeight="1" x14ac:dyDescent="0.25">
      <c r="A54" s="115"/>
      <c r="B54" s="114" t="s">
        <v>225</v>
      </c>
      <c r="C54" s="90"/>
      <c r="D54" s="116"/>
      <c r="E54" s="117"/>
      <c r="F54" s="117"/>
      <c r="G54" s="117"/>
      <c r="H54" s="117"/>
      <c r="I54" s="118">
        <v>0</v>
      </c>
      <c r="J54" s="118">
        <v>0</v>
      </c>
      <c r="K54" s="118">
        <v>4076.5</v>
      </c>
      <c r="L54" s="118">
        <v>4409.8</v>
      </c>
      <c r="M54" s="118">
        <v>7975.4</v>
      </c>
      <c r="N54" s="118">
        <f>N52-N53</f>
        <v>7925.7</v>
      </c>
      <c r="O54" s="118">
        <v>4597.7</v>
      </c>
      <c r="P54" s="118">
        <f>15298.9-N54-L54</f>
        <v>2963.3999999999996</v>
      </c>
      <c r="Q54" s="119"/>
      <c r="R54" s="79">
        <f t="shared" si="2"/>
        <v>16649.599999999999</v>
      </c>
      <c r="S54" s="79"/>
      <c r="X54" s="66"/>
      <c r="Y54" s="66"/>
    </row>
    <row r="55" spans="1:25" s="4" customFormat="1" ht="73.5" customHeight="1" x14ac:dyDescent="0.25">
      <c r="A55" s="60" t="s">
        <v>224</v>
      </c>
      <c r="B55" s="61" t="s">
        <v>311</v>
      </c>
      <c r="C55" s="89" t="s">
        <v>222</v>
      </c>
      <c r="D55" s="61" t="s">
        <v>457</v>
      </c>
      <c r="E55" s="92">
        <v>43839</v>
      </c>
      <c r="F55" s="92">
        <v>44196</v>
      </c>
      <c r="G55" s="92">
        <v>43839</v>
      </c>
      <c r="H55" s="92">
        <v>44196</v>
      </c>
      <c r="I55" s="103">
        <v>293768.59999999998</v>
      </c>
      <c r="J55" s="103">
        <v>301556.40000000002</v>
      </c>
      <c r="K55" s="103">
        <v>856274.8</v>
      </c>
      <c r="L55" s="103">
        <f>1306040.5-J55</f>
        <v>1004484.1</v>
      </c>
      <c r="M55" s="103">
        <v>3191596</v>
      </c>
      <c r="N55" s="103">
        <f>4500586.6-L55-J55</f>
        <v>3194546.0999999996</v>
      </c>
      <c r="O55" s="103">
        <v>2342631.6</v>
      </c>
      <c r="P55" s="103">
        <f>6186333.5-N55-L55-J55</f>
        <v>1685746.9000000004</v>
      </c>
      <c r="Q55" s="107" t="s">
        <v>509</v>
      </c>
      <c r="R55" s="79">
        <f t="shared" si="2"/>
        <v>6684271</v>
      </c>
      <c r="S55" s="79"/>
      <c r="T55" s="39">
        <f>554229.7-J55</f>
        <v>252673.29999999993</v>
      </c>
      <c r="U55" s="5">
        <f t="shared" ref="U55:U69" si="21">J55+L55</f>
        <v>1306040.5</v>
      </c>
      <c r="V55" s="4">
        <v>862068.3</v>
      </c>
      <c r="X55" s="6">
        <f t="shared" ref="X55:X86" si="22">V55-J55-L55</f>
        <v>-443972.19999999995</v>
      </c>
      <c r="Y55" s="6">
        <f t="shared" ref="Y55:Y86" si="23">X55-N55</f>
        <v>-3638518.3</v>
      </c>
    </row>
    <row r="56" spans="1:25" x14ac:dyDescent="0.25">
      <c r="A56" s="60"/>
      <c r="B56" s="61" t="s">
        <v>225</v>
      </c>
      <c r="C56" s="89"/>
      <c r="D56" s="120"/>
      <c r="E56" s="92"/>
      <c r="F56" s="92"/>
      <c r="G56" s="92"/>
      <c r="H56" s="92"/>
      <c r="I56" s="103">
        <f>I55</f>
        <v>293768.59999999998</v>
      </c>
      <c r="J56" s="103">
        <f t="shared" ref="J56:P56" si="24">J55</f>
        <v>301556.40000000002</v>
      </c>
      <c r="K56" s="103">
        <f t="shared" si="24"/>
        <v>856274.8</v>
      </c>
      <c r="L56" s="103">
        <f t="shared" si="24"/>
        <v>1004484.1</v>
      </c>
      <c r="M56" s="103">
        <f t="shared" si="24"/>
        <v>3191596</v>
      </c>
      <c r="N56" s="103">
        <f t="shared" si="24"/>
        <v>3194546.0999999996</v>
      </c>
      <c r="O56" s="103">
        <f t="shared" si="24"/>
        <v>2342631.6</v>
      </c>
      <c r="P56" s="103">
        <f t="shared" si="24"/>
        <v>1685746.9000000004</v>
      </c>
      <c r="Q56" s="111" t="s">
        <v>137</v>
      </c>
      <c r="R56" s="79">
        <f t="shared" si="2"/>
        <v>6684271</v>
      </c>
      <c r="S56" s="79"/>
      <c r="U56" s="5">
        <f t="shared" si="21"/>
        <v>1306040.5</v>
      </c>
      <c r="V56" s="5">
        <f>V55</f>
        <v>862068.3</v>
      </c>
      <c r="X56" s="6">
        <f t="shared" si="22"/>
        <v>-443972.19999999995</v>
      </c>
      <c r="Y56" s="6">
        <f t="shared" si="23"/>
        <v>-3638518.3</v>
      </c>
    </row>
    <row r="57" spans="1:25" ht="142.5" customHeight="1" x14ac:dyDescent="0.25">
      <c r="A57" s="60" t="s">
        <v>85</v>
      </c>
      <c r="B57" s="61" t="s">
        <v>86</v>
      </c>
      <c r="C57" s="89" t="s">
        <v>222</v>
      </c>
      <c r="D57" s="172" t="s">
        <v>282</v>
      </c>
      <c r="E57" s="92">
        <v>43839</v>
      </c>
      <c r="F57" s="92">
        <v>44196</v>
      </c>
      <c r="G57" s="92">
        <v>43839</v>
      </c>
      <c r="H57" s="92">
        <v>44196</v>
      </c>
      <c r="I57" s="88" t="s">
        <v>137</v>
      </c>
      <c r="J57" s="88" t="s">
        <v>137</v>
      </c>
      <c r="K57" s="88" t="s">
        <v>137</v>
      </c>
      <c r="L57" s="88" t="s">
        <v>137</v>
      </c>
      <c r="M57" s="88" t="s">
        <v>137</v>
      </c>
      <c r="N57" s="88" t="s">
        <v>137</v>
      </c>
      <c r="O57" s="88" t="s">
        <v>137</v>
      </c>
      <c r="P57" s="88" t="s">
        <v>137</v>
      </c>
      <c r="Q57" s="88" t="s">
        <v>137</v>
      </c>
      <c r="R57" s="79" t="e">
        <f t="shared" si="2"/>
        <v>#VALUE!</v>
      </c>
      <c r="S57" s="79"/>
      <c r="U57" s="5" t="e">
        <f t="shared" si="21"/>
        <v>#VALUE!</v>
      </c>
      <c r="X57" s="6" t="e">
        <f t="shared" si="22"/>
        <v>#VALUE!</v>
      </c>
      <c r="Y57" s="6" t="e">
        <f t="shared" si="23"/>
        <v>#VALUE!</v>
      </c>
    </row>
    <row r="58" spans="1:25" s="42" customFormat="1" ht="253.5" hidden="1" customHeight="1" x14ac:dyDescent="0.25">
      <c r="A58" s="112"/>
      <c r="B58" s="61" t="s">
        <v>332</v>
      </c>
      <c r="C58" s="89" t="s">
        <v>222</v>
      </c>
      <c r="D58" s="112" t="s">
        <v>282</v>
      </c>
      <c r="E58" s="88" t="s">
        <v>137</v>
      </c>
      <c r="F58" s="92">
        <v>43982</v>
      </c>
      <c r="G58" s="88" t="s">
        <v>137</v>
      </c>
      <c r="H58" s="92" t="s">
        <v>137</v>
      </c>
      <c r="I58" s="88" t="s">
        <v>137</v>
      </c>
      <c r="J58" s="88" t="s">
        <v>137</v>
      </c>
      <c r="K58" s="88" t="s">
        <v>137</v>
      </c>
      <c r="L58" s="88" t="s">
        <v>137</v>
      </c>
      <c r="M58" s="88" t="s">
        <v>137</v>
      </c>
      <c r="N58" s="88" t="s">
        <v>137</v>
      </c>
      <c r="O58" s="88" t="s">
        <v>137</v>
      </c>
      <c r="P58" s="88" t="s">
        <v>137</v>
      </c>
      <c r="Q58" s="121" t="s">
        <v>137</v>
      </c>
      <c r="R58" s="79" t="e">
        <f t="shared" si="2"/>
        <v>#VALUE!</v>
      </c>
      <c r="S58" s="79"/>
      <c r="U58" s="42" t="e">
        <f t="shared" si="21"/>
        <v>#VALUE!</v>
      </c>
      <c r="X58" s="6" t="e">
        <f t="shared" si="22"/>
        <v>#VALUE!</v>
      </c>
      <c r="Y58" s="6" t="e">
        <f t="shared" si="23"/>
        <v>#VALUE!</v>
      </c>
    </row>
    <row r="59" spans="1:25" ht="127.5" customHeight="1" x14ac:dyDescent="0.25">
      <c r="A59" s="60" t="s">
        <v>87</v>
      </c>
      <c r="B59" s="61" t="s">
        <v>88</v>
      </c>
      <c r="C59" s="89" t="s">
        <v>222</v>
      </c>
      <c r="D59" s="147" t="s">
        <v>458</v>
      </c>
      <c r="E59" s="92">
        <v>43839</v>
      </c>
      <c r="F59" s="92">
        <v>44196</v>
      </c>
      <c r="G59" s="92">
        <v>43839</v>
      </c>
      <c r="H59" s="161">
        <v>44012</v>
      </c>
      <c r="I59" s="88" t="s">
        <v>137</v>
      </c>
      <c r="J59" s="88" t="s">
        <v>137</v>
      </c>
      <c r="K59" s="88" t="s">
        <v>137</v>
      </c>
      <c r="L59" s="88" t="s">
        <v>137</v>
      </c>
      <c r="M59" s="88" t="s">
        <v>137</v>
      </c>
      <c r="N59" s="88" t="s">
        <v>137</v>
      </c>
      <c r="O59" s="88" t="s">
        <v>137</v>
      </c>
      <c r="P59" s="88" t="s">
        <v>137</v>
      </c>
      <c r="Q59" s="88" t="s">
        <v>137</v>
      </c>
      <c r="R59" s="79" t="e">
        <f t="shared" si="2"/>
        <v>#VALUE!</v>
      </c>
      <c r="S59" s="79"/>
      <c r="U59" s="5" t="e">
        <f t="shared" si="21"/>
        <v>#VALUE!</v>
      </c>
      <c r="X59" s="6" t="e">
        <f t="shared" si="22"/>
        <v>#VALUE!</v>
      </c>
      <c r="Y59" s="6" t="e">
        <f t="shared" si="23"/>
        <v>#VALUE!</v>
      </c>
    </row>
    <row r="60" spans="1:25" ht="115.5" customHeight="1" x14ac:dyDescent="0.25">
      <c r="A60" s="60"/>
      <c r="B60" s="61" t="s">
        <v>333</v>
      </c>
      <c r="C60" s="89" t="s">
        <v>222</v>
      </c>
      <c r="D60" s="61" t="s">
        <v>458</v>
      </c>
      <c r="E60" s="92" t="s">
        <v>137</v>
      </c>
      <c r="F60" s="92">
        <v>43982</v>
      </c>
      <c r="G60" s="92" t="s">
        <v>137</v>
      </c>
      <c r="H60" s="161">
        <v>43982</v>
      </c>
      <c r="I60" s="88" t="s">
        <v>137</v>
      </c>
      <c r="J60" s="88" t="s">
        <v>137</v>
      </c>
      <c r="K60" s="88" t="s">
        <v>137</v>
      </c>
      <c r="L60" s="88" t="s">
        <v>137</v>
      </c>
      <c r="M60" s="88" t="s">
        <v>137</v>
      </c>
      <c r="N60" s="88" t="s">
        <v>137</v>
      </c>
      <c r="O60" s="88" t="s">
        <v>137</v>
      </c>
      <c r="P60" s="88" t="s">
        <v>137</v>
      </c>
      <c r="Q60" s="88" t="s">
        <v>137</v>
      </c>
      <c r="R60" s="79" t="e">
        <f t="shared" si="2"/>
        <v>#VALUE!</v>
      </c>
      <c r="S60" s="79"/>
      <c r="U60" s="5" t="e">
        <f t="shared" si="21"/>
        <v>#VALUE!</v>
      </c>
      <c r="X60" s="6" t="e">
        <f t="shared" si="22"/>
        <v>#VALUE!</v>
      </c>
      <c r="Y60" s="6" t="e">
        <f t="shared" si="23"/>
        <v>#VALUE!</v>
      </c>
    </row>
    <row r="61" spans="1:25" ht="161.25" customHeight="1" x14ac:dyDescent="0.25">
      <c r="A61" s="60"/>
      <c r="B61" s="61" t="s">
        <v>334</v>
      </c>
      <c r="C61" s="89" t="s">
        <v>222</v>
      </c>
      <c r="D61" s="61" t="s">
        <v>396</v>
      </c>
      <c r="E61" s="92" t="s">
        <v>137</v>
      </c>
      <c r="F61" s="92">
        <v>43889</v>
      </c>
      <c r="G61" s="92" t="s">
        <v>137</v>
      </c>
      <c r="H61" s="92">
        <v>43888</v>
      </c>
      <c r="I61" s="88" t="s">
        <v>137</v>
      </c>
      <c r="J61" s="88" t="s">
        <v>137</v>
      </c>
      <c r="K61" s="88" t="s">
        <v>137</v>
      </c>
      <c r="L61" s="88" t="s">
        <v>137</v>
      </c>
      <c r="M61" s="88" t="s">
        <v>137</v>
      </c>
      <c r="N61" s="88" t="s">
        <v>137</v>
      </c>
      <c r="O61" s="88" t="s">
        <v>137</v>
      </c>
      <c r="P61" s="88" t="s">
        <v>137</v>
      </c>
      <c r="Q61" s="88" t="s">
        <v>137</v>
      </c>
      <c r="R61" s="79" t="e">
        <f t="shared" si="2"/>
        <v>#VALUE!</v>
      </c>
      <c r="S61" s="79"/>
      <c r="U61" s="5" t="e">
        <f t="shared" si="21"/>
        <v>#VALUE!</v>
      </c>
      <c r="X61" s="6" t="e">
        <f t="shared" si="22"/>
        <v>#VALUE!</v>
      </c>
      <c r="Y61" s="6" t="e">
        <f t="shared" si="23"/>
        <v>#VALUE!</v>
      </c>
    </row>
    <row r="62" spans="1:25" ht="127.5" customHeight="1" x14ac:dyDescent="0.25">
      <c r="A62" s="60" t="s">
        <v>89</v>
      </c>
      <c r="B62" s="61" t="s">
        <v>90</v>
      </c>
      <c r="C62" s="89" t="s">
        <v>222</v>
      </c>
      <c r="D62" s="61" t="s">
        <v>458</v>
      </c>
      <c r="E62" s="92">
        <v>43839</v>
      </c>
      <c r="F62" s="92">
        <v>44196</v>
      </c>
      <c r="G62" s="92">
        <v>43839</v>
      </c>
      <c r="H62" s="161">
        <v>44104</v>
      </c>
      <c r="I62" s="88" t="s">
        <v>137</v>
      </c>
      <c r="J62" s="88" t="s">
        <v>137</v>
      </c>
      <c r="K62" s="88" t="s">
        <v>137</v>
      </c>
      <c r="L62" s="88" t="s">
        <v>137</v>
      </c>
      <c r="M62" s="88" t="s">
        <v>137</v>
      </c>
      <c r="N62" s="88" t="s">
        <v>137</v>
      </c>
      <c r="O62" s="88" t="s">
        <v>137</v>
      </c>
      <c r="P62" s="88" t="s">
        <v>137</v>
      </c>
      <c r="Q62" s="88" t="s">
        <v>137</v>
      </c>
      <c r="R62" s="79" t="e">
        <f t="shared" si="2"/>
        <v>#VALUE!</v>
      </c>
      <c r="S62" s="79"/>
      <c r="U62" s="5" t="e">
        <f t="shared" si="21"/>
        <v>#VALUE!</v>
      </c>
      <c r="X62" s="6" t="e">
        <f t="shared" si="22"/>
        <v>#VALUE!</v>
      </c>
      <c r="Y62" s="6" t="e">
        <f t="shared" si="23"/>
        <v>#VALUE!</v>
      </c>
    </row>
    <row r="63" spans="1:25" s="43" customFormat="1" ht="164.25" customHeight="1" x14ac:dyDescent="0.25">
      <c r="A63" s="60"/>
      <c r="B63" s="61" t="s">
        <v>335</v>
      </c>
      <c r="C63" s="89" t="s">
        <v>222</v>
      </c>
      <c r="D63" s="113" t="s">
        <v>458</v>
      </c>
      <c r="E63" s="92" t="s">
        <v>137</v>
      </c>
      <c r="F63" s="92">
        <v>44074</v>
      </c>
      <c r="G63" s="92" t="s">
        <v>137</v>
      </c>
      <c r="H63" s="161">
        <v>44074</v>
      </c>
      <c r="I63" s="88" t="s">
        <v>137</v>
      </c>
      <c r="J63" s="88" t="s">
        <v>137</v>
      </c>
      <c r="K63" s="88" t="s">
        <v>137</v>
      </c>
      <c r="L63" s="88" t="s">
        <v>137</v>
      </c>
      <c r="M63" s="88" t="s">
        <v>137</v>
      </c>
      <c r="N63" s="88" t="s">
        <v>137</v>
      </c>
      <c r="O63" s="88" t="s">
        <v>137</v>
      </c>
      <c r="P63" s="88" t="s">
        <v>137</v>
      </c>
      <c r="Q63" s="88" t="s">
        <v>137</v>
      </c>
      <c r="R63" s="79" t="e">
        <f t="shared" si="2"/>
        <v>#VALUE!</v>
      </c>
      <c r="S63" s="79"/>
      <c r="U63" s="43" t="e">
        <f t="shared" si="21"/>
        <v>#VALUE!</v>
      </c>
      <c r="X63" s="6" t="e">
        <f t="shared" si="22"/>
        <v>#VALUE!</v>
      </c>
      <c r="Y63" s="6" t="e">
        <f t="shared" si="23"/>
        <v>#VALUE!</v>
      </c>
    </row>
    <row r="64" spans="1:25" ht="123.75" customHeight="1" x14ac:dyDescent="0.25">
      <c r="A64" s="60" t="s">
        <v>343</v>
      </c>
      <c r="B64" s="61" t="s">
        <v>61</v>
      </c>
      <c r="C64" s="89" t="s">
        <v>222</v>
      </c>
      <c r="D64" s="61" t="s">
        <v>457</v>
      </c>
      <c r="E64" s="92">
        <v>43839</v>
      </c>
      <c r="F64" s="92">
        <v>44196</v>
      </c>
      <c r="G64" s="92">
        <v>43839</v>
      </c>
      <c r="H64" s="92">
        <v>44196</v>
      </c>
      <c r="I64" s="103">
        <v>114337</v>
      </c>
      <c r="J64" s="103">
        <v>116370.2</v>
      </c>
      <c r="K64" s="103">
        <v>156455.79999999999</v>
      </c>
      <c r="L64" s="103">
        <f>274638.3-J64</f>
        <v>158268.09999999998</v>
      </c>
      <c r="M64" s="103">
        <v>178728.8</v>
      </c>
      <c r="N64" s="103">
        <f>452153.5-L64-J64</f>
        <v>177515.2</v>
      </c>
      <c r="O64" s="103">
        <v>249074.3</v>
      </c>
      <c r="P64" s="103">
        <f>692044.3-N64-L64-J64</f>
        <v>239890.80000000005</v>
      </c>
      <c r="Q64" s="188" t="s">
        <v>516</v>
      </c>
      <c r="R64" s="79">
        <f t="shared" si="2"/>
        <v>698595.89999999991</v>
      </c>
      <c r="S64" s="79"/>
      <c r="U64" s="5">
        <f t="shared" si="21"/>
        <v>274638.3</v>
      </c>
      <c r="V64" s="5">
        <v>425040.9</v>
      </c>
      <c r="W64" s="6">
        <f>V64-I64-M64-O64-K64</f>
        <v>-273554.99999999994</v>
      </c>
      <c r="X64" s="6">
        <f t="shared" si="22"/>
        <v>150402.60000000003</v>
      </c>
      <c r="Y64" s="6">
        <f t="shared" si="23"/>
        <v>-27112.599999999977</v>
      </c>
    </row>
    <row r="65" spans="1:25" ht="206.25" customHeight="1" x14ac:dyDescent="0.25">
      <c r="A65" s="60" t="s">
        <v>138</v>
      </c>
      <c r="B65" s="61" t="s">
        <v>312</v>
      </c>
      <c r="C65" s="89" t="s">
        <v>222</v>
      </c>
      <c r="D65" s="147" t="s">
        <v>405</v>
      </c>
      <c r="E65" s="92">
        <v>44119</v>
      </c>
      <c r="F65" s="92">
        <v>44196</v>
      </c>
      <c r="G65" s="92">
        <v>44119</v>
      </c>
      <c r="H65" s="92">
        <v>44196</v>
      </c>
      <c r="I65" s="103" t="s">
        <v>137</v>
      </c>
      <c r="J65" s="111" t="s">
        <v>137</v>
      </c>
      <c r="K65" s="103" t="s">
        <v>137</v>
      </c>
      <c r="L65" s="103" t="s">
        <v>137</v>
      </c>
      <c r="M65" s="103" t="s">
        <v>137</v>
      </c>
      <c r="N65" s="111" t="s">
        <v>137</v>
      </c>
      <c r="O65" s="103" t="s">
        <v>137</v>
      </c>
      <c r="P65" s="103" t="s">
        <v>137</v>
      </c>
      <c r="Q65" s="111" t="s">
        <v>137</v>
      </c>
      <c r="R65" s="79" t="e">
        <f t="shared" si="2"/>
        <v>#VALUE!</v>
      </c>
      <c r="S65" s="79"/>
      <c r="U65" s="5" t="e">
        <f t="shared" si="21"/>
        <v>#VALUE!</v>
      </c>
      <c r="X65" s="6" t="e">
        <f t="shared" si="22"/>
        <v>#VALUE!</v>
      </c>
      <c r="Y65" s="6" t="e">
        <f t="shared" si="23"/>
        <v>#VALUE!</v>
      </c>
    </row>
    <row r="66" spans="1:25" ht="181.5" customHeight="1" x14ac:dyDescent="0.25">
      <c r="A66" s="60" t="s">
        <v>78</v>
      </c>
      <c r="B66" s="61" t="s">
        <v>313</v>
      </c>
      <c r="C66" s="89" t="s">
        <v>222</v>
      </c>
      <c r="D66" s="147" t="s">
        <v>285</v>
      </c>
      <c r="E66" s="92">
        <v>43474</v>
      </c>
      <c r="F66" s="92">
        <v>43830</v>
      </c>
      <c r="G66" s="92">
        <v>43474</v>
      </c>
      <c r="H66" s="92">
        <v>44196</v>
      </c>
      <c r="I66" s="103" t="s">
        <v>137</v>
      </c>
      <c r="J66" s="111" t="s">
        <v>137</v>
      </c>
      <c r="K66" s="103" t="s">
        <v>137</v>
      </c>
      <c r="L66" s="103" t="s">
        <v>137</v>
      </c>
      <c r="M66" s="103" t="s">
        <v>137</v>
      </c>
      <c r="N66" s="111" t="s">
        <v>137</v>
      </c>
      <c r="O66" s="103" t="s">
        <v>137</v>
      </c>
      <c r="P66" s="103" t="s">
        <v>137</v>
      </c>
      <c r="Q66" s="111" t="s">
        <v>137</v>
      </c>
      <c r="R66" s="79" t="e">
        <f t="shared" si="2"/>
        <v>#VALUE!</v>
      </c>
      <c r="S66" s="79"/>
      <c r="U66" s="5" t="e">
        <f t="shared" si="21"/>
        <v>#VALUE!</v>
      </c>
      <c r="X66" s="6" t="e">
        <f t="shared" si="22"/>
        <v>#VALUE!</v>
      </c>
      <c r="Y66" s="6" t="e">
        <f t="shared" si="23"/>
        <v>#VALUE!</v>
      </c>
    </row>
    <row r="67" spans="1:25" ht="177.75" customHeight="1" x14ac:dyDescent="0.25">
      <c r="A67" s="60" t="s">
        <v>80</v>
      </c>
      <c r="B67" s="61" t="s">
        <v>314</v>
      </c>
      <c r="C67" s="89" t="s">
        <v>222</v>
      </c>
      <c r="D67" s="61" t="s">
        <v>285</v>
      </c>
      <c r="E67" s="92">
        <v>43839</v>
      </c>
      <c r="F67" s="92">
        <v>44196</v>
      </c>
      <c r="G67" s="92">
        <v>43839</v>
      </c>
      <c r="H67" s="92">
        <v>44196</v>
      </c>
      <c r="I67" s="103" t="s">
        <v>137</v>
      </c>
      <c r="J67" s="111" t="s">
        <v>137</v>
      </c>
      <c r="K67" s="103" t="s">
        <v>137</v>
      </c>
      <c r="L67" s="103" t="s">
        <v>137</v>
      </c>
      <c r="M67" s="103" t="s">
        <v>137</v>
      </c>
      <c r="N67" s="111" t="s">
        <v>137</v>
      </c>
      <c r="O67" s="103" t="s">
        <v>137</v>
      </c>
      <c r="P67" s="103" t="s">
        <v>137</v>
      </c>
      <c r="Q67" s="111" t="s">
        <v>137</v>
      </c>
      <c r="R67" s="79" t="e">
        <f t="shared" si="2"/>
        <v>#VALUE!</v>
      </c>
      <c r="S67" s="79"/>
      <c r="U67" s="5" t="e">
        <f t="shared" si="21"/>
        <v>#VALUE!</v>
      </c>
      <c r="X67" s="6" t="e">
        <f t="shared" si="22"/>
        <v>#VALUE!</v>
      </c>
      <c r="Y67" s="6" t="e">
        <f t="shared" si="23"/>
        <v>#VALUE!</v>
      </c>
    </row>
    <row r="68" spans="1:25" ht="180" customHeight="1" x14ac:dyDescent="0.25">
      <c r="A68" s="60"/>
      <c r="B68" s="61" t="s">
        <v>336</v>
      </c>
      <c r="C68" s="89" t="s">
        <v>222</v>
      </c>
      <c r="D68" s="61" t="s">
        <v>285</v>
      </c>
      <c r="E68" s="92" t="s">
        <v>137</v>
      </c>
      <c r="F68" s="92">
        <v>43889</v>
      </c>
      <c r="G68" s="92" t="s">
        <v>137</v>
      </c>
      <c r="H68" s="92">
        <v>43895</v>
      </c>
      <c r="I68" s="103" t="s">
        <v>137</v>
      </c>
      <c r="J68" s="111" t="s">
        <v>137</v>
      </c>
      <c r="K68" s="103" t="s">
        <v>137</v>
      </c>
      <c r="L68" s="103" t="s">
        <v>137</v>
      </c>
      <c r="M68" s="103" t="s">
        <v>137</v>
      </c>
      <c r="N68" s="111" t="s">
        <v>137</v>
      </c>
      <c r="O68" s="103" t="s">
        <v>137</v>
      </c>
      <c r="P68" s="103" t="s">
        <v>137</v>
      </c>
      <c r="Q68" s="107" t="s">
        <v>383</v>
      </c>
      <c r="R68" s="79" t="e">
        <f t="shared" si="2"/>
        <v>#VALUE!</v>
      </c>
      <c r="S68" s="79"/>
      <c r="U68" s="5" t="e">
        <f t="shared" si="21"/>
        <v>#VALUE!</v>
      </c>
      <c r="X68" s="6" t="e">
        <f t="shared" si="22"/>
        <v>#VALUE!</v>
      </c>
      <c r="Y68" s="6" t="e">
        <f t="shared" si="23"/>
        <v>#VALUE!</v>
      </c>
    </row>
    <row r="69" spans="1:25" ht="303.75" customHeight="1" x14ac:dyDescent="0.25">
      <c r="A69" s="60" t="s">
        <v>233</v>
      </c>
      <c r="B69" s="61" t="s">
        <v>315</v>
      </c>
      <c r="C69" s="89" t="s">
        <v>222</v>
      </c>
      <c r="D69" s="61" t="s">
        <v>285</v>
      </c>
      <c r="E69" s="92">
        <v>43839</v>
      </c>
      <c r="F69" s="92">
        <v>44196</v>
      </c>
      <c r="G69" s="92">
        <v>43839</v>
      </c>
      <c r="H69" s="92">
        <v>44196</v>
      </c>
      <c r="I69" s="103">
        <v>0</v>
      </c>
      <c r="J69" s="103">
        <v>0</v>
      </c>
      <c r="K69" s="103">
        <v>0</v>
      </c>
      <c r="L69" s="103">
        <v>0</v>
      </c>
      <c r="M69" s="103">
        <v>167.4</v>
      </c>
      <c r="N69" s="103">
        <v>167.4</v>
      </c>
      <c r="O69" s="103">
        <v>1577.2</v>
      </c>
      <c r="P69" s="103">
        <f>1597.2-N69</f>
        <v>1429.8</v>
      </c>
      <c r="Q69" s="57" t="s">
        <v>527</v>
      </c>
      <c r="R69" s="79">
        <f t="shared" si="2"/>
        <v>1744.6000000000001</v>
      </c>
      <c r="S69" s="79"/>
      <c r="U69" s="5">
        <f t="shared" si="21"/>
        <v>0</v>
      </c>
      <c r="V69" s="5">
        <v>488.5</v>
      </c>
      <c r="X69" s="6">
        <f t="shared" si="22"/>
        <v>488.5</v>
      </c>
      <c r="Y69" s="6">
        <f t="shared" si="23"/>
        <v>321.10000000000002</v>
      </c>
    </row>
    <row r="70" spans="1:25" ht="15.75" customHeight="1" x14ac:dyDescent="0.25">
      <c r="A70" s="235" t="s">
        <v>226</v>
      </c>
      <c r="B70" s="235"/>
      <c r="C70" s="235"/>
      <c r="D70" s="235"/>
      <c r="E70" s="235"/>
      <c r="F70" s="235"/>
      <c r="G70" s="235"/>
      <c r="H70" s="235"/>
      <c r="I70" s="103">
        <f>I71+I72</f>
        <v>415536.6</v>
      </c>
      <c r="J70" s="103">
        <f t="shared" ref="J70:P70" si="25">J71+J72</f>
        <v>426090.80000000005</v>
      </c>
      <c r="K70" s="103">
        <f t="shared" si="25"/>
        <v>1033243.7000000001</v>
      </c>
      <c r="L70" s="103">
        <f t="shared" si="25"/>
        <v>1184737.4000000001</v>
      </c>
      <c r="M70" s="103">
        <f t="shared" si="25"/>
        <v>3437174.7</v>
      </c>
      <c r="N70" s="103">
        <f t="shared" si="25"/>
        <v>3440599.3000000003</v>
      </c>
      <c r="O70" s="103">
        <f t="shared" si="25"/>
        <v>2838073.0999999996</v>
      </c>
      <c r="P70" s="103">
        <f t="shared" si="25"/>
        <v>2048857.6</v>
      </c>
      <c r="Q70" s="111"/>
      <c r="R70" s="79">
        <f t="shared" si="2"/>
        <v>7724028.0999999996</v>
      </c>
      <c r="S70" s="79"/>
      <c r="U70" s="6">
        <f>J70+L70+N70</f>
        <v>5051427.5</v>
      </c>
      <c r="X70" s="6">
        <f t="shared" si="22"/>
        <v>-1610828.2000000002</v>
      </c>
      <c r="Y70" s="6">
        <f t="shared" si="23"/>
        <v>-5051427.5</v>
      </c>
    </row>
    <row r="71" spans="1:25" ht="15.75" customHeight="1" x14ac:dyDescent="0.25">
      <c r="A71" s="235" t="s">
        <v>227</v>
      </c>
      <c r="B71" s="235"/>
      <c r="C71" s="235"/>
      <c r="D71" s="235"/>
      <c r="E71" s="235"/>
      <c r="F71" s="235"/>
      <c r="G71" s="235"/>
      <c r="H71" s="235"/>
      <c r="I71" s="103">
        <f t="shared" ref="I71:N71" si="26">I12+I18+I19+I23+I26+I29+I39+I42+I43+I64+I69+I44+I33+I47+I50+I53</f>
        <v>121768</v>
      </c>
      <c r="J71" s="103">
        <f t="shared" si="26"/>
        <v>124534.40000000001</v>
      </c>
      <c r="K71" s="103">
        <f t="shared" si="26"/>
        <v>170444.9</v>
      </c>
      <c r="L71" s="103">
        <f t="shared" si="26"/>
        <v>173015.19999999998</v>
      </c>
      <c r="M71" s="103">
        <f t="shared" si="26"/>
        <v>227497.49999999997</v>
      </c>
      <c r="N71" s="103">
        <f t="shared" si="26"/>
        <v>228139.10000000003</v>
      </c>
      <c r="O71" s="103">
        <f>O12+O18+O19+O23+O26+O29+O39+O42+O43+O64+O69+O44+O33+O47+O50+O53+O36</f>
        <v>349441.79999999993</v>
      </c>
      <c r="P71" s="103">
        <f>P12+P18+P19+P23+P26+P29+P39+P42+P43+P64+P69+P44+P33+P47+P50+P53+P36</f>
        <v>327666.30000000005</v>
      </c>
      <c r="Q71" s="111"/>
      <c r="R71" s="79">
        <f t="shared" si="2"/>
        <v>869152.2</v>
      </c>
      <c r="S71" s="79"/>
      <c r="U71" s="6">
        <f>J71+L71+N71</f>
        <v>525688.69999999995</v>
      </c>
      <c r="X71" s="6">
        <f t="shared" si="22"/>
        <v>-297549.59999999998</v>
      </c>
      <c r="Y71" s="6">
        <f t="shared" si="23"/>
        <v>-525688.69999999995</v>
      </c>
    </row>
    <row r="72" spans="1:25" ht="15.75" customHeight="1" x14ac:dyDescent="0.25">
      <c r="A72" s="235" t="s">
        <v>225</v>
      </c>
      <c r="B72" s="235"/>
      <c r="C72" s="235"/>
      <c r="D72" s="235"/>
      <c r="E72" s="235"/>
      <c r="F72" s="235"/>
      <c r="G72" s="235"/>
      <c r="H72" s="235"/>
      <c r="I72" s="103">
        <f t="shared" ref="I72:N72" si="27">I56+I51+I48+I34+I54</f>
        <v>293768.59999999998</v>
      </c>
      <c r="J72" s="103">
        <f t="shared" si="27"/>
        <v>301556.40000000002</v>
      </c>
      <c r="K72" s="103">
        <f t="shared" si="27"/>
        <v>862798.8</v>
      </c>
      <c r="L72" s="103">
        <f t="shared" si="27"/>
        <v>1011722.2000000001</v>
      </c>
      <c r="M72" s="103">
        <f t="shared" si="27"/>
        <v>3209677.2</v>
      </c>
      <c r="N72" s="103">
        <f t="shared" si="27"/>
        <v>3212460.2</v>
      </c>
      <c r="O72" s="103">
        <f>O56+O51+O48+O34+O54+O37</f>
        <v>2488631.2999999998</v>
      </c>
      <c r="P72" s="103">
        <f>P56+P51+P48+P34+P54+P37</f>
        <v>1721191.3</v>
      </c>
      <c r="Q72" s="111"/>
      <c r="R72" s="79">
        <f t="shared" si="2"/>
        <v>6854875.8999999994</v>
      </c>
      <c r="S72" s="79"/>
      <c r="U72" s="6">
        <f>J72+L72+N72</f>
        <v>4525738.8000000007</v>
      </c>
      <c r="X72" s="6">
        <f t="shared" si="22"/>
        <v>-1313278.6000000001</v>
      </c>
      <c r="Y72" s="6">
        <f t="shared" si="23"/>
        <v>-4525738.8000000007</v>
      </c>
    </row>
    <row r="73" spans="1:25" s="10" customFormat="1" ht="30.75" customHeight="1" x14ac:dyDescent="0.25">
      <c r="A73" s="107"/>
      <c r="B73" s="108" t="s">
        <v>109</v>
      </c>
      <c r="C73" s="109"/>
      <c r="D73" s="109"/>
      <c r="E73" s="110"/>
      <c r="F73" s="110"/>
      <c r="G73" s="110"/>
      <c r="H73" s="110"/>
      <c r="I73" s="111"/>
      <c r="J73" s="111"/>
      <c r="K73" s="111"/>
      <c r="L73" s="111"/>
      <c r="M73" s="111" t="s">
        <v>302</v>
      </c>
      <c r="N73" s="111"/>
      <c r="O73" s="189"/>
      <c r="P73" s="111"/>
      <c r="Q73" s="111"/>
      <c r="R73" s="79" t="e">
        <f t="shared" si="2"/>
        <v>#VALUE!</v>
      </c>
      <c r="S73" s="79"/>
      <c r="T73" s="11" t="e">
        <f>I73+K73+M73+O73</f>
        <v>#VALUE!</v>
      </c>
      <c r="U73" s="5">
        <f t="shared" ref="U73:U104" si="28">J73+L73</f>
        <v>0</v>
      </c>
      <c r="X73" s="6">
        <f t="shared" si="22"/>
        <v>0</v>
      </c>
      <c r="Y73" s="6">
        <f t="shared" si="23"/>
        <v>0</v>
      </c>
    </row>
    <row r="74" spans="1:25" ht="189.75" customHeight="1" x14ac:dyDescent="0.25">
      <c r="A74" s="60" t="s">
        <v>30</v>
      </c>
      <c r="B74" s="61" t="s">
        <v>63</v>
      </c>
      <c r="C74" s="89" t="s">
        <v>222</v>
      </c>
      <c r="D74" s="147" t="s">
        <v>286</v>
      </c>
      <c r="E74" s="92">
        <v>43839</v>
      </c>
      <c r="F74" s="92">
        <v>44196</v>
      </c>
      <c r="G74" s="92">
        <v>43839</v>
      </c>
      <c r="H74" s="92">
        <v>44195</v>
      </c>
      <c r="I74" s="88" t="s">
        <v>137</v>
      </c>
      <c r="J74" s="88" t="s">
        <v>137</v>
      </c>
      <c r="K74" s="88" t="s">
        <v>137</v>
      </c>
      <c r="L74" s="88" t="s">
        <v>137</v>
      </c>
      <c r="M74" s="88" t="s">
        <v>137</v>
      </c>
      <c r="N74" s="88" t="s">
        <v>137</v>
      </c>
      <c r="O74" s="88" t="s">
        <v>137</v>
      </c>
      <c r="P74" s="88" t="s">
        <v>137</v>
      </c>
      <c r="Q74" s="88" t="s">
        <v>137</v>
      </c>
      <c r="R74" s="79" t="e">
        <f t="shared" ref="R74:S123" si="29">I74+K74+M74+O74</f>
        <v>#VALUE!</v>
      </c>
      <c r="S74" s="79"/>
      <c r="U74" s="5" t="e">
        <f t="shared" si="28"/>
        <v>#VALUE!</v>
      </c>
      <c r="X74" s="6" t="e">
        <f t="shared" si="22"/>
        <v>#VALUE!</v>
      </c>
      <c r="Y74" s="6" t="e">
        <f t="shared" si="23"/>
        <v>#VALUE!</v>
      </c>
    </row>
    <row r="75" spans="1:25" ht="201.75" customHeight="1" x14ac:dyDescent="0.25">
      <c r="A75" s="60" t="s">
        <v>31</v>
      </c>
      <c r="B75" s="61" t="s">
        <v>316</v>
      </c>
      <c r="C75" s="89" t="s">
        <v>222</v>
      </c>
      <c r="D75" s="61" t="s">
        <v>287</v>
      </c>
      <c r="E75" s="92">
        <v>43839</v>
      </c>
      <c r="F75" s="92">
        <v>44196</v>
      </c>
      <c r="G75" s="92">
        <v>43839</v>
      </c>
      <c r="H75" s="92">
        <v>44195</v>
      </c>
      <c r="I75" s="88" t="s">
        <v>137</v>
      </c>
      <c r="J75" s="88" t="s">
        <v>137</v>
      </c>
      <c r="K75" s="88" t="s">
        <v>137</v>
      </c>
      <c r="L75" s="88" t="s">
        <v>137</v>
      </c>
      <c r="M75" s="88" t="s">
        <v>137</v>
      </c>
      <c r="N75" s="88" t="s">
        <v>137</v>
      </c>
      <c r="O75" s="88" t="s">
        <v>137</v>
      </c>
      <c r="P75" s="88" t="s">
        <v>137</v>
      </c>
      <c r="Q75" s="88" t="s">
        <v>137</v>
      </c>
      <c r="R75" s="79" t="e">
        <f t="shared" si="29"/>
        <v>#VALUE!</v>
      </c>
      <c r="S75" s="79"/>
      <c r="U75" s="5" t="e">
        <f t="shared" si="28"/>
        <v>#VALUE!</v>
      </c>
      <c r="X75" s="6" t="e">
        <f t="shared" si="22"/>
        <v>#VALUE!</v>
      </c>
      <c r="Y75" s="6" t="e">
        <f t="shared" si="23"/>
        <v>#VALUE!</v>
      </c>
    </row>
    <row r="76" spans="1:25" s="43" customFormat="1" ht="198" customHeight="1" x14ac:dyDescent="0.25">
      <c r="A76" s="60" t="s">
        <v>182</v>
      </c>
      <c r="B76" s="61" t="s">
        <v>237</v>
      </c>
      <c r="C76" s="89"/>
      <c r="D76" s="61" t="s">
        <v>406</v>
      </c>
      <c r="E76" s="154">
        <v>43900</v>
      </c>
      <c r="F76" s="92">
        <v>44196</v>
      </c>
      <c r="G76" s="92">
        <v>43900</v>
      </c>
      <c r="H76" s="92">
        <v>44195</v>
      </c>
      <c r="I76" s="88">
        <v>18</v>
      </c>
      <c r="J76" s="88">
        <v>18</v>
      </c>
      <c r="K76" s="88">
        <v>39.700000000000003</v>
      </c>
      <c r="L76" s="88">
        <f>41-J76</f>
        <v>23</v>
      </c>
      <c r="M76" s="142">
        <v>207.5</v>
      </c>
      <c r="N76" s="103">
        <f>374.9-L76-J76</f>
        <v>333.9</v>
      </c>
      <c r="O76" s="88">
        <v>365.8</v>
      </c>
      <c r="P76" s="88">
        <f>505.8-J76-L76-N76</f>
        <v>130.90000000000003</v>
      </c>
      <c r="Q76" s="121" t="s">
        <v>529</v>
      </c>
      <c r="R76" s="79">
        <f t="shared" si="29"/>
        <v>631</v>
      </c>
      <c r="S76" s="79"/>
      <c r="U76" s="43">
        <f t="shared" si="28"/>
        <v>41</v>
      </c>
      <c r="V76" s="43">
        <v>105.9</v>
      </c>
      <c r="X76" s="6">
        <f t="shared" si="22"/>
        <v>64.900000000000006</v>
      </c>
      <c r="Y76" s="6">
        <f t="shared" si="23"/>
        <v>-269</v>
      </c>
    </row>
    <row r="77" spans="1:25" s="43" customFormat="1" ht="198.75" customHeight="1" x14ac:dyDescent="0.25">
      <c r="A77" s="60" t="s">
        <v>185</v>
      </c>
      <c r="B77" s="61" t="s">
        <v>305</v>
      </c>
      <c r="C77" s="89"/>
      <c r="D77" s="61" t="s">
        <v>422</v>
      </c>
      <c r="E77" s="92">
        <v>43900</v>
      </c>
      <c r="F77" s="92">
        <v>44196</v>
      </c>
      <c r="G77" s="92">
        <v>43900</v>
      </c>
      <c r="H77" s="92">
        <v>44195</v>
      </c>
      <c r="I77" s="88">
        <v>0</v>
      </c>
      <c r="J77" s="88">
        <v>0</v>
      </c>
      <c r="K77" s="88">
        <v>0</v>
      </c>
      <c r="L77" s="88">
        <v>0</v>
      </c>
      <c r="M77" s="142">
        <v>24</v>
      </c>
      <c r="N77" s="88">
        <v>375.2</v>
      </c>
      <c r="O77" s="88">
        <v>564</v>
      </c>
      <c r="P77" s="88">
        <f>573.6-N77</f>
        <v>198.40000000000003</v>
      </c>
      <c r="Q77" s="121" t="s">
        <v>528</v>
      </c>
      <c r="R77" s="79">
        <f t="shared" si="29"/>
        <v>588</v>
      </c>
      <c r="S77" s="79"/>
      <c r="U77" s="43">
        <f t="shared" si="28"/>
        <v>0</v>
      </c>
      <c r="V77" s="43">
        <v>363.4</v>
      </c>
      <c r="X77" s="6">
        <f t="shared" si="22"/>
        <v>363.4</v>
      </c>
      <c r="Y77" s="6">
        <f t="shared" si="23"/>
        <v>-11.800000000000011</v>
      </c>
    </row>
    <row r="78" spans="1:25" s="43" customFormat="1" ht="177.75" customHeight="1" x14ac:dyDescent="0.25">
      <c r="A78" s="60" t="s">
        <v>266</v>
      </c>
      <c r="B78" s="61" t="s">
        <v>407</v>
      </c>
      <c r="C78" s="89"/>
      <c r="D78" s="61" t="s">
        <v>385</v>
      </c>
      <c r="E78" s="92">
        <v>43900</v>
      </c>
      <c r="F78" s="92">
        <v>44196</v>
      </c>
      <c r="G78" s="92">
        <v>43900</v>
      </c>
      <c r="H78" s="92">
        <v>44195</v>
      </c>
      <c r="I78" s="88">
        <v>0</v>
      </c>
      <c r="J78" s="88">
        <v>0</v>
      </c>
      <c r="K78" s="88">
        <v>0</v>
      </c>
      <c r="L78" s="88">
        <v>0</v>
      </c>
      <c r="M78" s="142">
        <v>0</v>
      </c>
      <c r="N78" s="88">
        <v>0</v>
      </c>
      <c r="O78" s="88">
        <v>9</v>
      </c>
      <c r="P78" s="88">
        <v>9</v>
      </c>
      <c r="Q78" s="88"/>
      <c r="R78" s="79">
        <f t="shared" si="29"/>
        <v>9</v>
      </c>
      <c r="S78" s="79"/>
      <c r="U78" s="43">
        <f t="shared" si="28"/>
        <v>0</v>
      </c>
      <c r="X78" s="6">
        <f t="shared" si="22"/>
        <v>0</v>
      </c>
      <c r="Y78" s="6">
        <f t="shared" si="23"/>
        <v>0</v>
      </c>
    </row>
    <row r="79" spans="1:25" s="43" customFormat="1" ht="198.75" customHeight="1" x14ac:dyDescent="0.25">
      <c r="A79" s="60" t="s">
        <v>265</v>
      </c>
      <c r="B79" s="61" t="s">
        <v>423</v>
      </c>
      <c r="C79" s="89"/>
      <c r="D79" s="61" t="s">
        <v>408</v>
      </c>
      <c r="E79" s="92">
        <v>43900</v>
      </c>
      <c r="F79" s="92">
        <v>44196</v>
      </c>
      <c r="G79" s="92">
        <v>43900</v>
      </c>
      <c r="H79" s="92">
        <v>44195</v>
      </c>
      <c r="I79" s="88">
        <v>0</v>
      </c>
      <c r="J79" s="88">
        <v>0</v>
      </c>
      <c r="K79" s="88">
        <v>0</v>
      </c>
      <c r="L79" s="88">
        <v>0</v>
      </c>
      <c r="M79" s="142">
        <v>0</v>
      </c>
      <c r="N79" s="88">
        <v>38</v>
      </c>
      <c r="O79" s="88">
        <v>113</v>
      </c>
      <c r="P79" s="88">
        <f>86.7-N79</f>
        <v>48.7</v>
      </c>
      <c r="Q79" s="121" t="s">
        <v>528</v>
      </c>
      <c r="R79" s="79">
        <f t="shared" si="29"/>
        <v>113</v>
      </c>
      <c r="S79" s="79"/>
      <c r="U79" s="43">
        <f t="shared" si="28"/>
        <v>0</v>
      </c>
      <c r="V79" s="43">
        <v>3</v>
      </c>
      <c r="X79" s="6">
        <f t="shared" si="22"/>
        <v>3</v>
      </c>
      <c r="Y79" s="6">
        <f t="shared" si="23"/>
        <v>-35</v>
      </c>
    </row>
    <row r="80" spans="1:25" s="43" customFormat="1" ht="168.75" customHeight="1" x14ac:dyDescent="0.25">
      <c r="A80" s="60" t="s">
        <v>267</v>
      </c>
      <c r="B80" s="61" t="s">
        <v>306</v>
      </c>
      <c r="C80" s="89"/>
      <c r="D80" s="61" t="s">
        <v>386</v>
      </c>
      <c r="E80" s="92">
        <v>43900</v>
      </c>
      <c r="F80" s="92">
        <v>44196</v>
      </c>
      <c r="G80" s="92">
        <v>43900</v>
      </c>
      <c r="H80" s="92">
        <v>44195</v>
      </c>
      <c r="I80" s="88">
        <v>0</v>
      </c>
      <c r="J80" s="88">
        <v>0</v>
      </c>
      <c r="K80" s="88">
        <v>0</v>
      </c>
      <c r="L80" s="88">
        <v>0</v>
      </c>
      <c r="M80" s="142">
        <v>54.4</v>
      </c>
      <c r="N80" s="88">
        <v>54.4</v>
      </c>
      <c r="O80" s="88">
        <v>17.600000000000001</v>
      </c>
      <c r="P80" s="88">
        <v>17.600000000000001</v>
      </c>
      <c r="Q80" s="91" t="s">
        <v>137</v>
      </c>
      <c r="R80" s="79">
        <f t="shared" si="29"/>
        <v>72</v>
      </c>
      <c r="S80" s="79"/>
      <c r="U80" s="43">
        <f t="shared" si="28"/>
        <v>0</v>
      </c>
      <c r="V80" s="43">
        <v>30.1</v>
      </c>
      <c r="X80" s="6">
        <f t="shared" si="22"/>
        <v>30.1</v>
      </c>
      <c r="Y80" s="6">
        <f t="shared" si="23"/>
        <v>-24.299999999999997</v>
      </c>
    </row>
    <row r="81" spans="1:25" s="43" customFormat="1" ht="213.75" customHeight="1" x14ac:dyDescent="0.25">
      <c r="A81" s="60" t="s">
        <v>273</v>
      </c>
      <c r="B81" s="61" t="s">
        <v>409</v>
      </c>
      <c r="C81" s="89"/>
      <c r="D81" s="61" t="s">
        <v>384</v>
      </c>
      <c r="E81" s="92">
        <v>43900</v>
      </c>
      <c r="F81" s="92">
        <v>44196</v>
      </c>
      <c r="G81" s="92">
        <v>43900</v>
      </c>
      <c r="H81" s="92">
        <v>44195</v>
      </c>
      <c r="I81" s="88">
        <v>0</v>
      </c>
      <c r="J81" s="88">
        <v>10</v>
      </c>
      <c r="K81" s="88">
        <v>0</v>
      </c>
      <c r="L81" s="88">
        <v>0</v>
      </c>
      <c r="M81" s="142">
        <v>21</v>
      </c>
      <c r="N81" s="88">
        <f>81.7-J81</f>
        <v>71.7</v>
      </c>
      <c r="O81" s="88">
        <v>397</v>
      </c>
      <c r="P81" s="88">
        <f>81.7-N81-J81</f>
        <v>0</v>
      </c>
      <c r="Q81" s="121" t="s">
        <v>530</v>
      </c>
      <c r="R81" s="79">
        <f t="shared" si="29"/>
        <v>418</v>
      </c>
      <c r="S81" s="79"/>
      <c r="U81" s="43">
        <f t="shared" si="28"/>
        <v>10</v>
      </c>
      <c r="X81" s="6">
        <f t="shared" si="22"/>
        <v>-10</v>
      </c>
      <c r="Y81" s="6">
        <f t="shared" si="23"/>
        <v>-81.7</v>
      </c>
    </row>
    <row r="82" spans="1:25" s="43" customFormat="1" ht="171.75" customHeight="1" x14ac:dyDescent="0.25">
      <c r="A82" s="60" t="s">
        <v>360</v>
      </c>
      <c r="B82" s="61" t="s">
        <v>410</v>
      </c>
      <c r="C82" s="89"/>
      <c r="D82" s="61" t="s">
        <v>361</v>
      </c>
      <c r="E82" s="92">
        <v>43900</v>
      </c>
      <c r="F82" s="92">
        <v>44196</v>
      </c>
      <c r="G82" s="92">
        <v>43900</v>
      </c>
      <c r="H82" s="92">
        <v>44195</v>
      </c>
      <c r="I82" s="88">
        <v>0</v>
      </c>
      <c r="J82" s="88">
        <v>0</v>
      </c>
      <c r="K82" s="88">
        <v>0</v>
      </c>
      <c r="L82" s="88">
        <v>0</v>
      </c>
      <c r="M82" s="142">
        <v>0</v>
      </c>
      <c r="N82" s="88">
        <v>0</v>
      </c>
      <c r="O82" s="88">
        <v>82</v>
      </c>
      <c r="P82" s="88">
        <v>64.8</v>
      </c>
      <c r="Q82" s="121" t="s">
        <v>531</v>
      </c>
      <c r="R82" s="79">
        <f t="shared" si="29"/>
        <v>82</v>
      </c>
      <c r="S82" s="79"/>
      <c r="U82" s="43">
        <f t="shared" si="28"/>
        <v>0</v>
      </c>
      <c r="X82" s="6">
        <f t="shared" si="22"/>
        <v>0</v>
      </c>
      <c r="Y82" s="6">
        <f t="shared" si="23"/>
        <v>0</v>
      </c>
    </row>
    <row r="83" spans="1:25" s="43" customFormat="1" ht="162" customHeight="1" x14ac:dyDescent="0.25">
      <c r="A83" s="60" t="s">
        <v>363</v>
      </c>
      <c r="B83" s="61" t="s">
        <v>411</v>
      </c>
      <c r="C83" s="89"/>
      <c r="D83" s="61" t="s">
        <v>364</v>
      </c>
      <c r="E83" s="92">
        <v>43900</v>
      </c>
      <c r="F83" s="92">
        <v>44196</v>
      </c>
      <c r="G83" s="92">
        <v>43900</v>
      </c>
      <c r="H83" s="92">
        <v>44195</v>
      </c>
      <c r="I83" s="88">
        <v>0</v>
      </c>
      <c r="J83" s="88">
        <v>0</v>
      </c>
      <c r="K83" s="88">
        <v>0</v>
      </c>
      <c r="L83" s="88">
        <v>0</v>
      </c>
      <c r="M83" s="142">
        <v>0</v>
      </c>
      <c r="N83" s="88">
        <v>10.5</v>
      </c>
      <c r="O83" s="88">
        <v>20</v>
      </c>
      <c r="P83" s="88">
        <v>0</v>
      </c>
      <c r="Q83" s="121" t="s">
        <v>528</v>
      </c>
      <c r="R83" s="79">
        <f t="shared" si="29"/>
        <v>20</v>
      </c>
      <c r="S83" s="79"/>
      <c r="U83" s="43">
        <f t="shared" si="28"/>
        <v>0</v>
      </c>
      <c r="X83" s="6">
        <f t="shared" si="22"/>
        <v>0</v>
      </c>
      <c r="Y83" s="6">
        <f t="shared" si="23"/>
        <v>-10.5</v>
      </c>
    </row>
    <row r="84" spans="1:25" s="43" customFormat="1" ht="163.5" customHeight="1" x14ac:dyDescent="0.25">
      <c r="A84" s="60" t="s">
        <v>366</v>
      </c>
      <c r="B84" s="61" t="s">
        <v>412</v>
      </c>
      <c r="C84" s="89"/>
      <c r="D84" s="61" t="s">
        <v>367</v>
      </c>
      <c r="E84" s="92">
        <v>43900</v>
      </c>
      <c r="F84" s="92">
        <v>44196</v>
      </c>
      <c r="G84" s="92">
        <v>43900</v>
      </c>
      <c r="H84" s="92">
        <v>44195</v>
      </c>
      <c r="I84" s="88">
        <v>0</v>
      </c>
      <c r="J84" s="88">
        <v>0</v>
      </c>
      <c r="K84" s="88">
        <v>0</v>
      </c>
      <c r="L84" s="88">
        <v>0</v>
      </c>
      <c r="M84" s="142">
        <v>0</v>
      </c>
      <c r="N84" s="88">
        <v>0</v>
      </c>
      <c r="O84" s="88">
        <v>50</v>
      </c>
      <c r="P84" s="88">
        <v>10.6</v>
      </c>
      <c r="Q84" s="121" t="s">
        <v>532</v>
      </c>
      <c r="R84" s="79">
        <f t="shared" si="29"/>
        <v>50</v>
      </c>
      <c r="S84" s="79"/>
      <c r="U84" s="43">
        <f t="shared" si="28"/>
        <v>0</v>
      </c>
      <c r="X84" s="6">
        <f t="shared" si="22"/>
        <v>0</v>
      </c>
      <c r="Y84" s="6">
        <f t="shared" si="23"/>
        <v>0</v>
      </c>
    </row>
    <row r="85" spans="1:25" s="43" customFormat="1" ht="182.25" customHeight="1" x14ac:dyDescent="0.25">
      <c r="A85" s="60" t="s">
        <v>368</v>
      </c>
      <c r="B85" s="61" t="s">
        <v>413</v>
      </c>
      <c r="C85" s="89"/>
      <c r="D85" s="61" t="s">
        <v>370</v>
      </c>
      <c r="E85" s="92">
        <v>43900</v>
      </c>
      <c r="F85" s="92">
        <v>44196</v>
      </c>
      <c r="G85" s="92">
        <v>43900</v>
      </c>
      <c r="H85" s="92">
        <v>44195</v>
      </c>
      <c r="I85" s="88">
        <v>0</v>
      </c>
      <c r="J85" s="88">
        <v>0</v>
      </c>
      <c r="K85" s="88">
        <v>0</v>
      </c>
      <c r="L85" s="88">
        <v>0</v>
      </c>
      <c r="M85" s="142">
        <v>17</v>
      </c>
      <c r="N85" s="88">
        <v>17</v>
      </c>
      <c r="O85" s="88">
        <v>0</v>
      </c>
      <c r="P85" s="88">
        <v>0</v>
      </c>
      <c r="Q85" s="88"/>
      <c r="R85" s="79">
        <f t="shared" si="29"/>
        <v>17</v>
      </c>
      <c r="S85" s="79"/>
      <c r="U85" s="43">
        <f t="shared" si="28"/>
        <v>0</v>
      </c>
      <c r="X85" s="6">
        <f t="shared" si="22"/>
        <v>0</v>
      </c>
      <c r="Y85" s="6">
        <f t="shared" si="23"/>
        <v>-17</v>
      </c>
    </row>
    <row r="86" spans="1:25" ht="104.25" customHeight="1" x14ac:dyDescent="0.25">
      <c r="A86" s="60" t="s">
        <v>44</v>
      </c>
      <c r="B86" s="61" t="s">
        <v>65</v>
      </c>
      <c r="C86" s="89" t="s">
        <v>222</v>
      </c>
      <c r="D86" s="61" t="s">
        <v>288</v>
      </c>
      <c r="E86" s="92">
        <v>43839</v>
      </c>
      <c r="F86" s="92">
        <v>44196</v>
      </c>
      <c r="G86" s="92">
        <v>43839</v>
      </c>
      <c r="H86" s="92">
        <v>44195</v>
      </c>
      <c r="I86" s="88" t="s">
        <v>137</v>
      </c>
      <c r="J86" s="88" t="s">
        <v>137</v>
      </c>
      <c r="K86" s="88" t="s">
        <v>137</v>
      </c>
      <c r="L86" s="88" t="s">
        <v>137</v>
      </c>
      <c r="M86" s="88" t="s">
        <v>137</v>
      </c>
      <c r="N86" s="88" t="s">
        <v>137</v>
      </c>
      <c r="O86" s="88" t="s">
        <v>137</v>
      </c>
      <c r="P86" s="88" t="s">
        <v>137</v>
      </c>
      <c r="Q86" s="88" t="s">
        <v>137</v>
      </c>
      <c r="R86" s="79" t="e">
        <f t="shared" si="29"/>
        <v>#VALUE!</v>
      </c>
      <c r="S86" s="79"/>
      <c r="U86" s="5" t="e">
        <f t="shared" si="28"/>
        <v>#VALUE!</v>
      </c>
      <c r="X86" s="6" t="e">
        <f t="shared" si="22"/>
        <v>#VALUE!</v>
      </c>
      <c r="Y86" s="6" t="e">
        <f t="shared" si="23"/>
        <v>#VALUE!</v>
      </c>
    </row>
    <row r="87" spans="1:25" ht="189.75" customHeight="1" x14ac:dyDescent="0.25">
      <c r="A87" s="60" t="s">
        <v>46</v>
      </c>
      <c r="B87" s="61" t="s">
        <v>317</v>
      </c>
      <c r="C87" s="89" t="s">
        <v>222</v>
      </c>
      <c r="D87" s="61" t="s">
        <v>288</v>
      </c>
      <c r="E87" s="92">
        <v>43839</v>
      </c>
      <c r="F87" s="92">
        <v>44196</v>
      </c>
      <c r="G87" s="92">
        <v>43839</v>
      </c>
      <c r="H87" s="92">
        <v>44195</v>
      </c>
      <c r="I87" s="88" t="s">
        <v>137</v>
      </c>
      <c r="J87" s="88" t="s">
        <v>137</v>
      </c>
      <c r="K87" s="88" t="s">
        <v>137</v>
      </c>
      <c r="L87" s="88" t="s">
        <v>137</v>
      </c>
      <c r="M87" s="88" t="s">
        <v>137</v>
      </c>
      <c r="N87" s="88" t="s">
        <v>137</v>
      </c>
      <c r="O87" s="88" t="s">
        <v>137</v>
      </c>
      <c r="P87" s="88" t="s">
        <v>137</v>
      </c>
      <c r="Q87" s="88" t="s">
        <v>137</v>
      </c>
      <c r="R87" s="79" t="e">
        <f t="shared" si="29"/>
        <v>#VALUE!</v>
      </c>
      <c r="S87" s="79"/>
      <c r="U87" s="5" t="e">
        <f t="shared" si="28"/>
        <v>#VALUE!</v>
      </c>
      <c r="X87" s="6" t="e">
        <f t="shared" ref="X87:X123" si="30">V87-J87-L87</f>
        <v>#VALUE!</v>
      </c>
      <c r="Y87" s="6" t="e">
        <f t="shared" ref="Y87:Y118" si="31">X87-N87</f>
        <v>#VALUE!</v>
      </c>
    </row>
    <row r="88" spans="1:25" ht="179.25" customHeight="1" x14ac:dyDescent="0.25">
      <c r="A88" s="60" t="s">
        <v>48</v>
      </c>
      <c r="B88" s="61" t="s">
        <v>67</v>
      </c>
      <c r="C88" s="89" t="s">
        <v>222</v>
      </c>
      <c r="D88" s="61" t="s">
        <v>288</v>
      </c>
      <c r="E88" s="92">
        <v>43839</v>
      </c>
      <c r="F88" s="92">
        <v>44196</v>
      </c>
      <c r="G88" s="92">
        <v>43839</v>
      </c>
      <c r="H88" s="92">
        <v>44195</v>
      </c>
      <c r="I88" s="88" t="s">
        <v>137</v>
      </c>
      <c r="J88" s="88" t="s">
        <v>137</v>
      </c>
      <c r="K88" s="88" t="s">
        <v>137</v>
      </c>
      <c r="L88" s="88" t="s">
        <v>137</v>
      </c>
      <c r="M88" s="88" t="s">
        <v>137</v>
      </c>
      <c r="N88" s="88" t="s">
        <v>137</v>
      </c>
      <c r="O88" s="88" t="s">
        <v>137</v>
      </c>
      <c r="P88" s="88" t="s">
        <v>137</v>
      </c>
      <c r="Q88" s="88" t="s">
        <v>137</v>
      </c>
      <c r="R88" s="79" t="e">
        <f t="shared" si="29"/>
        <v>#VALUE!</v>
      </c>
      <c r="S88" s="79"/>
      <c r="U88" s="5" t="e">
        <f t="shared" si="28"/>
        <v>#VALUE!</v>
      </c>
      <c r="X88" s="6" t="e">
        <f t="shared" si="30"/>
        <v>#VALUE!</v>
      </c>
      <c r="Y88" s="6" t="e">
        <f t="shared" si="31"/>
        <v>#VALUE!</v>
      </c>
    </row>
    <row r="89" spans="1:25" ht="105.75" customHeight="1" x14ac:dyDescent="0.25">
      <c r="A89" s="60" t="s">
        <v>50</v>
      </c>
      <c r="B89" s="61" t="s">
        <v>318</v>
      </c>
      <c r="C89" s="89" t="s">
        <v>222</v>
      </c>
      <c r="D89" s="61" t="s">
        <v>288</v>
      </c>
      <c r="E89" s="92">
        <v>43839</v>
      </c>
      <c r="F89" s="92">
        <v>44196</v>
      </c>
      <c r="G89" s="92">
        <v>43839</v>
      </c>
      <c r="H89" s="92">
        <v>44195</v>
      </c>
      <c r="I89" s="88" t="s">
        <v>137</v>
      </c>
      <c r="J89" s="88" t="s">
        <v>137</v>
      </c>
      <c r="K89" s="88" t="s">
        <v>137</v>
      </c>
      <c r="L89" s="88" t="s">
        <v>137</v>
      </c>
      <c r="M89" s="88" t="s">
        <v>137</v>
      </c>
      <c r="N89" s="88" t="s">
        <v>137</v>
      </c>
      <c r="O89" s="88" t="s">
        <v>137</v>
      </c>
      <c r="P89" s="88" t="s">
        <v>137</v>
      </c>
      <c r="Q89" s="88" t="s">
        <v>137</v>
      </c>
      <c r="R89" s="79" t="e">
        <f t="shared" si="29"/>
        <v>#VALUE!</v>
      </c>
      <c r="S89" s="79"/>
      <c r="U89" s="5" t="e">
        <f t="shared" si="28"/>
        <v>#VALUE!</v>
      </c>
      <c r="X89" s="6" t="e">
        <f t="shared" si="30"/>
        <v>#VALUE!</v>
      </c>
      <c r="Y89" s="6" t="e">
        <f t="shared" si="31"/>
        <v>#VALUE!</v>
      </c>
    </row>
    <row r="90" spans="1:25" ht="102" customHeight="1" x14ac:dyDescent="0.25">
      <c r="A90" s="112"/>
      <c r="B90" s="61" t="s">
        <v>337</v>
      </c>
      <c r="C90" s="89" t="s">
        <v>222</v>
      </c>
      <c r="D90" s="61" t="s">
        <v>288</v>
      </c>
      <c r="E90" s="89" t="s">
        <v>137</v>
      </c>
      <c r="F90" s="92" t="s">
        <v>440</v>
      </c>
      <c r="G90" s="92" t="s">
        <v>137</v>
      </c>
      <c r="H90" s="92" t="s">
        <v>473</v>
      </c>
      <c r="I90" s="88" t="s">
        <v>137</v>
      </c>
      <c r="J90" s="88" t="s">
        <v>137</v>
      </c>
      <c r="K90" s="88" t="s">
        <v>137</v>
      </c>
      <c r="L90" s="88" t="s">
        <v>137</v>
      </c>
      <c r="M90" s="88" t="s">
        <v>137</v>
      </c>
      <c r="N90" s="88" t="s">
        <v>137</v>
      </c>
      <c r="O90" s="88" t="s">
        <v>137</v>
      </c>
      <c r="P90" s="88" t="s">
        <v>137</v>
      </c>
      <c r="Q90" s="88" t="s">
        <v>137</v>
      </c>
      <c r="R90" s="79" t="e">
        <f t="shared" si="29"/>
        <v>#VALUE!</v>
      </c>
      <c r="S90" s="79"/>
      <c r="U90" s="5" t="e">
        <f t="shared" si="28"/>
        <v>#VALUE!</v>
      </c>
      <c r="X90" s="6" t="e">
        <f t="shared" si="30"/>
        <v>#VALUE!</v>
      </c>
      <c r="Y90" s="6" t="e">
        <f t="shared" si="31"/>
        <v>#VALUE!</v>
      </c>
    </row>
    <row r="91" spans="1:25" ht="120" customHeight="1" x14ac:dyDescent="0.25">
      <c r="A91" s="60" t="s">
        <v>52</v>
      </c>
      <c r="B91" s="61" t="s">
        <v>69</v>
      </c>
      <c r="C91" s="89" t="s">
        <v>222</v>
      </c>
      <c r="D91" s="61" t="s">
        <v>288</v>
      </c>
      <c r="E91" s="92">
        <v>43839</v>
      </c>
      <c r="F91" s="92">
        <v>44196</v>
      </c>
      <c r="G91" s="92">
        <v>43839</v>
      </c>
      <c r="H91" s="92">
        <v>44195</v>
      </c>
      <c r="I91" s="88" t="s">
        <v>137</v>
      </c>
      <c r="J91" s="88" t="s">
        <v>137</v>
      </c>
      <c r="K91" s="88" t="s">
        <v>137</v>
      </c>
      <c r="L91" s="88" t="s">
        <v>137</v>
      </c>
      <c r="M91" s="88" t="s">
        <v>137</v>
      </c>
      <c r="N91" s="88" t="s">
        <v>137</v>
      </c>
      <c r="O91" s="88" t="s">
        <v>137</v>
      </c>
      <c r="P91" s="88" t="s">
        <v>137</v>
      </c>
      <c r="Q91" s="88" t="s">
        <v>137</v>
      </c>
      <c r="R91" s="79" t="e">
        <f t="shared" si="29"/>
        <v>#VALUE!</v>
      </c>
      <c r="S91" s="79"/>
      <c r="U91" s="5" t="e">
        <f t="shared" si="28"/>
        <v>#VALUE!</v>
      </c>
      <c r="X91" s="6" t="e">
        <f t="shared" si="30"/>
        <v>#VALUE!</v>
      </c>
      <c r="Y91" s="6" t="e">
        <f t="shared" si="31"/>
        <v>#VALUE!</v>
      </c>
    </row>
    <row r="92" spans="1:25" ht="102.75" customHeight="1" x14ac:dyDescent="0.25">
      <c r="A92" s="60" t="s">
        <v>347</v>
      </c>
      <c r="B92" s="61" t="s">
        <v>253</v>
      </c>
      <c r="C92" s="89" t="s">
        <v>222</v>
      </c>
      <c r="D92" s="61" t="s">
        <v>288</v>
      </c>
      <c r="E92" s="92">
        <v>43839</v>
      </c>
      <c r="F92" s="92">
        <v>44196</v>
      </c>
      <c r="G92" s="92">
        <v>43839</v>
      </c>
      <c r="H92" s="92">
        <v>44195</v>
      </c>
      <c r="I92" s="88" t="s">
        <v>137</v>
      </c>
      <c r="J92" s="88" t="s">
        <v>137</v>
      </c>
      <c r="K92" s="88" t="s">
        <v>137</v>
      </c>
      <c r="L92" s="88" t="s">
        <v>137</v>
      </c>
      <c r="M92" s="88" t="s">
        <v>137</v>
      </c>
      <c r="N92" s="88" t="s">
        <v>137</v>
      </c>
      <c r="O92" s="88" t="s">
        <v>137</v>
      </c>
      <c r="P92" s="88" t="s">
        <v>137</v>
      </c>
      <c r="Q92" s="88" t="s">
        <v>137</v>
      </c>
      <c r="R92" s="79" t="e">
        <f t="shared" si="29"/>
        <v>#VALUE!</v>
      </c>
      <c r="S92" s="79"/>
      <c r="U92" s="5" t="e">
        <f t="shared" si="28"/>
        <v>#VALUE!</v>
      </c>
      <c r="X92" s="6" t="e">
        <f t="shared" si="30"/>
        <v>#VALUE!</v>
      </c>
      <c r="Y92" s="6" t="e">
        <f t="shared" si="31"/>
        <v>#VALUE!</v>
      </c>
    </row>
    <row r="93" spans="1:25" ht="206.25" customHeight="1" x14ac:dyDescent="0.25">
      <c r="A93" s="60" t="s">
        <v>224</v>
      </c>
      <c r="B93" s="61" t="s">
        <v>319</v>
      </c>
      <c r="C93" s="89" t="s">
        <v>222</v>
      </c>
      <c r="D93" s="61" t="s">
        <v>288</v>
      </c>
      <c r="E93" s="92">
        <v>43839</v>
      </c>
      <c r="F93" s="92">
        <v>44196</v>
      </c>
      <c r="G93" s="92">
        <v>43839</v>
      </c>
      <c r="H93" s="92">
        <v>44195</v>
      </c>
      <c r="I93" s="88" t="s">
        <v>137</v>
      </c>
      <c r="J93" s="88" t="s">
        <v>137</v>
      </c>
      <c r="K93" s="88" t="s">
        <v>137</v>
      </c>
      <c r="L93" s="88" t="s">
        <v>137</v>
      </c>
      <c r="M93" s="88" t="s">
        <v>137</v>
      </c>
      <c r="N93" s="88" t="s">
        <v>137</v>
      </c>
      <c r="O93" s="88" t="s">
        <v>137</v>
      </c>
      <c r="P93" s="88" t="s">
        <v>137</v>
      </c>
      <c r="Q93" s="88" t="s">
        <v>137</v>
      </c>
      <c r="R93" s="79" t="e">
        <f t="shared" si="29"/>
        <v>#VALUE!</v>
      </c>
      <c r="S93" s="79"/>
      <c r="U93" s="5" t="e">
        <f t="shared" si="28"/>
        <v>#VALUE!</v>
      </c>
      <c r="X93" s="6" t="e">
        <f t="shared" si="30"/>
        <v>#VALUE!</v>
      </c>
      <c r="Y93" s="6" t="e">
        <f t="shared" si="31"/>
        <v>#VALUE!</v>
      </c>
    </row>
    <row r="94" spans="1:25" ht="98.25" customHeight="1" x14ac:dyDescent="0.25">
      <c r="A94" s="60" t="s">
        <v>72</v>
      </c>
      <c r="B94" s="61" t="s">
        <v>73</v>
      </c>
      <c r="C94" s="89" t="s">
        <v>222</v>
      </c>
      <c r="D94" s="61" t="s">
        <v>288</v>
      </c>
      <c r="E94" s="92">
        <v>43839</v>
      </c>
      <c r="F94" s="92">
        <v>44196</v>
      </c>
      <c r="G94" s="92">
        <v>43839</v>
      </c>
      <c r="H94" s="92">
        <v>44195</v>
      </c>
      <c r="I94" s="88" t="s">
        <v>137</v>
      </c>
      <c r="J94" s="88" t="s">
        <v>137</v>
      </c>
      <c r="K94" s="88" t="s">
        <v>137</v>
      </c>
      <c r="L94" s="88" t="s">
        <v>137</v>
      </c>
      <c r="M94" s="88" t="s">
        <v>137</v>
      </c>
      <c r="N94" s="88" t="s">
        <v>137</v>
      </c>
      <c r="O94" s="88" t="s">
        <v>137</v>
      </c>
      <c r="P94" s="88" t="s">
        <v>137</v>
      </c>
      <c r="Q94" s="88" t="s">
        <v>137</v>
      </c>
      <c r="R94" s="79" t="e">
        <f t="shared" si="29"/>
        <v>#VALUE!</v>
      </c>
      <c r="S94" s="79"/>
      <c r="U94" s="5" t="e">
        <f t="shared" si="28"/>
        <v>#VALUE!</v>
      </c>
      <c r="X94" s="6" t="e">
        <f t="shared" si="30"/>
        <v>#VALUE!</v>
      </c>
      <c r="Y94" s="6" t="e">
        <f t="shared" si="31"/>
        <v>#VALUE!</v>
      </c>
    </row>
    <row r="95" spans="1:25" ht="150" customHeight="1" x14ac:dyDescent="0.25">
      <c r="A95" s="60" t="s">
        <v>346</v>
      </c>
      <c r="B95" s="61" t="s">
        <v>320</v>
      </c>
      <c r="C95" s="89" t="s">
        <v>222</v>
      </c>
      <c r="D95" s="61" t="s">
        <v>288</v>
      </c>
      <c r="E95" s="92">
        <v>43839</v>
      </c>
      <c r="F95" s="92">
        <v>44196</v>
      </c>
      <c r="G95" s="92">
        <v>43839</v>
      </c>
      <c r="H95" s="92">
        <v>44195</v>
      </c>
      <c r="I95" s="88" t="s">
        <v>137</v>
      </c>
      <c r="J95" s="88" t="s">
        <v>137</v>
      </c>
      <c r="K95" s="88" t="s">
        <v>137</v>
      </c>
      <c r="L95" s="88" t="s">
        <v>137</v>
      </c>
      <c r="M95" s="88" t="s">
        <v>137</v>
      </c>
      <c r="N95" s="88" t="s">
        <v>137</v>
      </c>
      <c r="O95" s="88" t="s">
        <v>137</v>
      </c>
      <c r="P95" s="88" t="s">
        <v>137</v>
      </c>
      <c r="Q95" s="88" t="s">
        <v>137</v>
      </c>
      <c r="R95" s="79" t="e">
        <f t="shared" si="29"/>
        <v>#VALUE!</v>
      </c>
      <c r="S95" s="79"/>
      <c r="U95" s="5" t="e">
        <f t="shared" si="28"/>
        <v>#VALUE!</v>
      </c>
      <c r="X95" s="6" t="e">
        <f t="shared" si="30"/>
        <v>#VALUE!</v>
      </c>
      <c r="Y95" s="6" t="e">
        <f t="shared" si="31"/>
        <v>#VALUE!</v>
      </c>
    </row>
    <row r="96" spans="1:25" ht="106.5" customHeight="1" x14ac:dyDescent="0.25">
      <c r="A96" s="60" t="s">
        <v>85</v>
      </c>
      <c r="B96" s="61" t="s">
        <v>75</v>
      </c>
      <c r="C96" s="89" t="s">
        <v>222</v>
      </c>
      <c r="D96" s="61" t="s">
        <v>288</v>
      </c>
      <c r="E96" s="92">
        <v>43839</v>
      </c>
      <c r="F96" s="92">
        <v>44196</v>
      </c>
      <c r="G96" s="92">
        <v>43839</v>
      </c>
      <c r="H96" s="92">
        <v>44195</v>
      </c>
      <c r="I96" s="88" t="s">
        <v>137</v>
      </c>
      <c r="J96" s="88" t="s">
        <v>137</v>
      </c>
      <c r="K96" s="88" t="s">
        <v>137</v>
      </c>
      <c r="L96" s="88" t="s">
        <v>137</v>
      </c>
      <c r="M96" s="88" t="s">
        <v>137</v>
      </c>
      <c r="N96" s="88" t="s">
        <v>137</v>
      </c>
      <c r="O96" s="88" t="s">
        <v>137</v>
      </c>
      <c r="P96" s="88" t="s">
        <v>137</v>
      </c>
      <c r="Q96" s="88" t="s">
        <v>137</v>
      </c>
      <c r="R96" s="79" t="e">
        <f t="shared" si="29"/>
        <v>#VALUE!</v>
      </c>
      <c r="S96" s="79"/>
      <c r="U96" s="5" t="e">
        <f t="shared" si="28"/>
        <v>#VALUE!</v>
      </c>
      <c r="X96" s="6" t="e">
        <f t="shared" si="30"/>
        <v>#VALUE!</v>
      </c>
      <c r="Y96" s="6" t="e">
        <f t="shared" si="31"/>
        <v>#VALUE!</v>
      </c>
    </row>
    <row r="97" spans="1:25" ht="98.25" customHeight="1" x14ac:dyDescent="0.25">
      <c r="A97" s="60" t="s">
        <v>138</v>
      </c>
      <c r="B97" s="61" t="s">
        <v>77</v>
      </c>
      <c r="C97" s="89" t="s">
        <v>222</v>
      </c>
      <c r="D97" s="61" t="s">
        <v>288</v>
      </c>
      <c r="E97" s="92">
        <v>43839</v>
      </c>
      <c r="F97" s="92">
        <v>44196</v>
      </c>
      <c r="G97" s="92">
        <v>43839</v>
      </c>
      <c r="H97" s="92">
        <v>44180</v>
      </c>
      <c r="I97" s="88" t="s">
        <v>137</v>
      </c>
      <c r="J97" s="88" t="s">
        <v>137</v>
      </c>
      <c r="K97" s="88" t="s">
        <v>137</v>
      </c>
      <c r="L97" s="88" t="s">
        <v>137</v>
      </c>
      <c r="M97" s="88" t="s">
        <v>137</v>
      </c>
      <c r="N97" s="88" t="s">
        <v>137</v>
      </c>
      <c r="O97" s="88" t="s">
        <v>137</v>
      </c>
      <c r="P97" s="88" t="s">
        <v>137</v>
      </c>
      <c r="Q97" s="88" t="s">
        <v>137</v>
      </c>
      <c r="R97" s="79" t="e">
        <f t="shared" si="29"/>
        <v>#VALUE!</v>
      </c>
      <c r="S97" s="79"/>
      <c r="U97" s="5" t="e">
        <f t="shared" si="28"/>
        <v>#VALUE!</v>
      </c>
      <c r="X97" s="6" t="e">
        <f t="shared" si="30"/>
        <v>#VALUE!</v>
      </c>
      <c r="Y97" s="6" t="e">
        <f t="shared" si="31"/>
        <v>#VALUE!</v>
      </c>
    </row>
    <row r="98" spans="1:25" ht="102" customHeight="1" x14ac:dyDescent="0.25">
      <c r="A98" s="122"/>
      <c r="B98" s="61" t="s">
        <v>338</v>
      </c>
      <c r="C98" s="89" t="s">
        <v>222</v>
      </c>
      <c r="D98" s="61" t="s">
        <v>288</v>
      </c>
      <c r="E98" s="92" t="s">
        <v>137</v>
      </c>
      <c r="F98" s="92" t="s">
        <v>440</v>
      </c>
      <c r="G98" s="89" t="s">
        <v>137</v>
      </c>
      <c r="H98" s="92" t="s">
        <v>474</v>
      </c>
      <c r="I98" s="88" t="s">
        <v>137</v>
      </c>
      <c r="J98" s="88" t="s">
        <v>137</v>
      </c>
      <c r="K98" s="88" t="s">
        <v>137</v>
      </c>
      <c r="L98" s="88" t="s">
        <v>137</v>
      </c>
      <c r="M98" s="88" t="s">
        <v>137</v>
      </c>
      <c r="N98" s="88" t="s">
        <v>137</v>
      </c>
      <c r="O98" s="88" t="s">
        <v>137</v>
      </c>
      <c r="P98" s="88" t="s">
        <v>137</v>
      </c>
      <c r="Q98" s="88" t="s">
        <v>137</v>
      </c>
      <c r="R98" s="79" t="e">
        <f t="shared" si="29"/>
        <v>#VALUE!</v>
      </c>
      <c r="S98" s="79"/>
      <c r="U98" s="5" t="e">
        <f t="shared" si="28"/>
        <v>#VALUE!</v>
      </c>
      <c r="X98" s="6" t="e">
        <f t="shared" si="30"/>
        <v>#VALUE!</v>
      </c>
      <c r="Y98" s="6" t="e">
        <f t="shared" si="31"/>
        <v>#VALUE!</v>
      </c>
    </row>
    <row r="99" spans="1:25" ht="107.25" customHeight="1" x14ac:dyDescent="0.25">
      <c r="A99" s="60" t="s">
        <v>78</v>
      </c>
      <c r="B99" s="61" t="s">
        <v>79</v>
      </c>
      <c r="C99" s="89" t="s">
        <v>222</v>
      </c>
      <c r="D99" s="61" t="s">
        <v>288</v>
      </c>
      <c r="E99" s="92">
        <v>43839</v>
      </c>
      <c r="F99" s="92">
        <v>44196</v>
      </c>
      <c r="G99" s="92">
        <v>43839</v>
      </c>
      <c r="H99" s="92">
        <v>44195</v>
      </c>
      <c r="I99" s="88" t="s">
        <v>137</v>
      </c>
      <c r="J99" s="88" t="s">
        <v>137</v>
      </c>
      <c r="K99" s="88" t="s">
        <v>137</v>
      </c>
      <c r="L99" s="88" t="s">
        <v>137</v>
      </c>
      <c r="M99" s="88" t="s">
        <v>137</v>
      </c>
      <c r="N99" s="88" t="s">
        <v>137</v>
      </c>
      <c r="O99" s="88" t="s">
        <v>137</v>
      </c>
      <c r="P99" s="88" t="s">
        <v>137</v>
      </c>
      <c r="Q99" s="88" t="s">
        <v>137</v>
      </c>
      <c r="R99" s="79" t="e">
        <f t="shared" si="29"/>
        <v>#VALUE!</v>
      </c>
      <c r="S99" s="79"/>
      <c r="U99" s="5" t="e">
        <f t="shared" si="28"/>
        <v>#VALUE!</v>
      </c>
      <c r="X99" s="6" t="e">
        <f t="shared" si="30"/>
        <v>#VALUE!</v>
      </c>
      <c r="Y99" s="6" t="e">
        <f t="shared" si="31"/>
        <v>#VALUE!</v>
      </c>
    </row>
    <row r="100" spans="1:25" ht="263.25" customHeight="1" x14ac:dyDescent="0.25">
      <c r="A100" s="60" t="s">
        <v>281</v>
      </c>
      <c r="B100" s="61" t="s">
        <v>256</v>
      </c>
      <c r="C100" s="89" t="s">
        <v>222</v>
      </c>
      <c r="D100" s="61" t="s">
        <v>288</v>
      </c>
      <c r="E100" s="92">
        <v>43474</v>
      </c>
      <c r="F100" s="92">
        <v>44196</v>
      </c>
      <c r="G100" s="92">
        <v>43839</v>
      </c>
      <c r="H100" s="92">
        <v>44195</v>
      </c>
      <c r="I100" s="88">
        <v>590</v>
      </c>
      <c r="J100" s="88">
        <v>590</v>
      </c>
      <c r="K100" s="88">
        <v>0</v>
      </c>
      <c r="L100" s="88">
        <v>0</v>
      </c>
      <c r="M100" s="88">
        <v>0</v>
      </c>
      <c r="N100" s="88">
        <v>0</v>
      </c>
      <c r="O100" s="88">
        <v>0</v>
      </c>
      <c r="P100" s="88">
        <v>0</v>
      </c>
      <c r="Q100" s="88" t="s">
        <v>137</v>
      </c>
      <c r="R100" s="79">
        <f t="shared" si="29"/>
        <v>590</v>
      </c>
      <c r="S100" s="79"/>
      <c r="U100" s="5">
        <f t="shared" si="28"/>
        <v>590</v>
      </c>
      <c r="V100" s="5">
        <v>590</v>
      </c>
      <c r="X100" s="6">
        <f t="shared" si="30"/>
        <v>0</v>
      </c>
      <c r="Y100" s="6">
        <f t="shared" si="31"/>
        <v>0</v>
      </c>
    </row>
    <row r="101" spans="1:25" x14ac:dyDescent="0.25">
      <c r="A101" s="235" t="s">
        <v>228</v>
      </c>
      <c r="B101" s="235"/>
      <c r="C101" s="235"/>
      <c r="D101" s="235"/>
      <c r="E101" s="235"/>
      <c r="F101" s="235"/>
      <c r="G101" s="235"/>
      <c r="H101" s="235"/>
      <c r="I101" s="88">
        <f t="shared" ref="I101" si="32">I100+I85+I84+I83+I82+I81+I80+I79+I78+I77+I76</f>
        <v>608</v>
      </c>
      <c r="J101" s="88">
        <f t="shared" ref="J101" si="33">J100+J85+J84+J83+J82+J81+J80+J79+J78+J77+J76</f>
        <v>618</v>
      </c>
      <c r="K101" s="88">
        <f t="shared" ref="K101" si="34">K100+K85+K84+K83+K82+K81+K80+K79+K78+K77+K76</f>
        <v>39.700000000000003</v>
      </c>
      <c r="L101" s="88">
        <f t="shared" ref="L101" si="35">L100+L85+L84+L83+L82+L81+L80+L79+L78+L77+L76</f>
        <v>23</v>
      </c>
      <c r="M101" s="88">
        <f t="shared" ref="M101" si="36">M100+M85+M84+M83+M82+M81+M80+M79+M78+M77+M76</f>
        <v>323.89999999999998</v>
      </c>
      <c r="N101" s="88">
        <f>N76+N77+N78+N79+N80+N81+N82+N83+N84+N85+N100</f>
        <v>900.69999999999993</v>
      </c>
      <c r="O101" s="88">
        <f t="shared" ref="O101:P101" si="37">O76+O77+O78+O79+O80+O81+O82+O83+O84+O85+O100</f>
        <v>1618.3999999999999</v>
      </c>
      <c r="P101" s="88">
        <f t="shared" si="37"/>
        <v>480.00000000000011</v>
      </c>
      <c r="Q101" s="88" t="s">
        <v>137</v>
      </c>
      <c r="R101" s="79">
        <f t="shared" si="29"/>
        <v>2590</v>
      </c>
      <c r="S101" s="79"/>
      <c r="U101" s="5">
        <f t="shared" si="28"/>
        <v>641</v>
      </c>
      <c r="X101" s="6">
        <f t="shared" si="30"/>
        <v>-641</v>
      </c>
      <c r="Y101" s="6">
        <f t="shared" si="31"/>
        <v>-1541.6999999999998</v>
      </c>
    </row>
    <row r="102" spans="1:25" x14ac:dyDescent="0.25">
      <c r="A102" s="235" t="s">
        <v>227</v>
      </c>
      <c r="B102" s="235"/>
      <c r="C102" s="235"/>
      <c r="D102" s="235"/>
      <c r="E102" s="235"/>
      <c r="F102" s="235"/>
      <c r="G102" s="235"/>
      <c r="H102" s="235"/>
      <c r="I102" s="103">
        <f>I101</f>
        <v>608</v>
      </c>
      <c r="J102" s="103">
        <f t="shared" ref="J102:P102" si="38">J101</f>
        <v>618</v>
      </c>
      <c r="K102" s="103">
        <f t="shared" si="38"/>
        <v>39.700000000000003</v>
      </c>
      <c r="L102" s="103">
        <f t="shared" si="38"/>
        <v>23</v>
      </c>
      <c r="M102" s="103">
        <f t="shared" si="38"/>
        <v>323.89999999999998</v>
      </c>
      <c r="N102" s="103">
        <f t="shared" si="38"/>
        <v>900.69999999999993</v>
      </c>
      <c r="O102" s="103">
        <f t="shared" si="38"/>
        <v>1618.3999999999999</v>
      </c>
      <c r="P102" s="103">
        <f t="shared" si="38"/>
        <v>480.00000000000011</v>
      </c>
      <c r="Q102" s="111"/>
      <c r="R102" s="79">
        <f t="shared" si="29"/>
        <v>2590</v>
      </c>
      <c r="S102" s="79"/>
      <c r="U102" s="5">
        <f t="shared" si="28"/>
        <v>641</v>
      </c>
      <c r="X102" s="6">
        <f t="shared" si="30"/>
        <v>-641</v>
      </c>
      <c r="Y102" s="6">
        <f t="shared" si="31"/>
        <v>-1541.6999999999998</v>
      </c>
    </row>
    <row r="103" spans="1:25" x14ac:dyDescent="0.25">
      <c r="A103" s="235" t="s">
        <v>225</v>
      </c>
      <c r="B103" s="235"/>
      <c r="C103" s="235"/>
      <c r="D103" s="235"/>
      <c r="E103" s="235"/>
      <c r="F103" s="235"/>
      <c r="G103" s="235"/>
      <c r="H103" s="235"/>
      <c r="I103" s="88">
        <v>0</v>
      </c>
      <c r="J103" s="88">
        <v>0</v>
      </c>
      <c r="K103" s="88">
        <v>0</v>
      </c>
      <c r="L103" s="88">
        <v>0</v>
      </c>
      <c r="M103" s="88">
        <v>0</v>
      </c>
      <c r="N103" s="88">
        <v>0</v>
      </c>
      <c r="O103" s="88">
        <v>0</v>
      </c>
      <c r="P103" s="88">
        <v>0</v>
      </c>
      <c r="Q103" s="111"/>
      <c r="R103" s="79">
        <f t="shared" si="29"/>
        <v>0</v>
      </c>
      <c r="S103" s="79"/>
      <c r="U103" s="5">
        <f t="shared" si="28"/>
        <v>0</v>
      </c>
      <c r="X103" s="6">
        <f t="shared" si="30"/>
        <v>0</v>
      </c>
      <c r="Y103" s="6">
        <f t="shared" si="31"/>
        <v>0</v>
      </c>
    </row>
    <row r="104" spans="1:25" s="10" customFormat="1" ht="90.75" customHeight="1" x14ac:dyDescent="0.25">
      <c r="A104" s="107">
        <v>3</v>
      </c>
      <c r="B104" s="108" t="s">
        <v>29</v>
      </c>
      <c r="C104" s="109"/>
      <c r="D104" s="109"/>
      <c r="E104" s="110"/>
      <c r="F104" s="110"/>
      <c r="G104" s="110"/>
      <c r="H104" s="110"/>
      <c r="I104" s="111"/>
      <c r="J104" s="111"/>
      <c r="K104" s="111"/>
      <c r="L104" s="111"/>
      <c r="M104" s="111"/>
      <c r="N104" s="111"/>
      <c r="O104" s="189"/>
      <c r="P104" s="111"/>
      <c r="Q104" s="111"/>
      <c r="R104" s="79">
        <f t="shared" si="29"/>
        <v>0</v>
      </c>
      <c r="S104" s="79"/>
      <c r="T104" s="11">
        <f t="shared" ref="T104:T111" si="39">I104+K104+M104+O104</f>
        <v>0</v>
      </c>
      <c r="U104" s="5">
        <f t="shared" si="28"/>
        <v>0</v>
      </c>
      <c r="X104" s="6">
        <f t="shared" si="30"/>
        <v>0</v>
      </c>
      <c r="Y104" s="6">
        <f t="shared" si="31"/>
        <v>0</v>
      </c>
    </row>
    <row r="105" spans="1:25" s="10" customFormat="1" ht="189" customHeight="1" x14ac:dyDescent="0.25">
      <c r="A105" s="60" t="s">
        <v>31</v>
      </c>
      <c r="B105" s="123" t="s">
        <v>414</v>
      </c>
      <c r="C105" s="89" t="s">
        <v>222</v>
      </c>
      <c r="D105" s="61" t="s">
        <v>289</v>
      </c>
      <c r="E105" s="92">
        <v>43839</v>
      </c>
      <c r="F105" s="92">
        <v>44196</v>
      </c>
      <c r="G105" s="92">
        <v>43839</v>
      </c>
      <c r="H105" s="92">
        <v>44196</v>
      </c>
      <c r="I105" s="103">
        <v>0</v>
      </c>
      <c r="J105" s="103">
        <v>0</v>
      </c>
      <c r="K105" s="103">
        <v>0</v>
      </c>
      <c r="L105" s="103">
        <v>0</v>
      </c>
      <c r="M105" s="103">
        <v>0</v>
      </c>
      <c r="N105" s="88">
        <v>0</v>
      </c>
      <c r="O105" s="103">
        <v>52</v>
      </c>
      <c r="P105" s="103">
        <v>0</v>
      </c>
      <c r="Q105" s="58" t="s">
        <v>491</v>
      </c>
      <c r="R105" s="79">
        <f t="shared" si="29"/>
        <v>52</v>
      </c>
      <c r="S105" s="79"/>
      <c r="T105" s="11">
        <f t="shared" si="39"/>
        <v>52</v>
      </c>
      <c r="U105" s="5">
        <f t="shared" ref="U105:U123" si="40">J105+L105</f>
        <v>0</v>
      </c>
      <c r="V105" s="11">
        <f>V106+V107</f>
        <v>45.8</v>
      </c>
      <c r="X105" s="6">
        <f t="shared" si="30"/>
        <v>45.8</v>
      </c>
      <c r="Y105" s="6">
        <f t="shared" si="31"/>
        <v>45.8</v>
      </c>
    </row>
    <row r="106" spans="1:25" s="10" customFormat="1" x14ac:dyDescent="0.25">
      <c r="A106" s="60"/>
      <c r="B106" s="237" t="s">
        <v>227</v>
      </c>
      <c r="C106" s="237"/>
      <c r="D106" s="237"/>
      <c r="E106" s="237"/>
      <c r="F106" s="237"/>
      <c r="G106" s="237"/>
      <c r="H106" s="237"/>
      <c r="I106" s="103">
        <v>0</v>
      </c>
      <c r="J106" s="103">
        <v>0</v>
      </c>
      <c r="K106" s="103">
        <v>0</v>
      </c>
      <c r="L106" s="103">
        <v>0</v>
      </c>
      <c r="M106" s="103">
        <v>0</v>
      </c>
      <c r="N106" s="88">
        <v>0</v>
      </c>
      <c r="O106" s="103">
        <v>12.5</v>
      </c>
      <c r="P106" s="103">
        <v>0</v>
      </c>
      <c r="Q106" s="111"/>
      <c r="R106" s="79">
        <f t="shared" si="29"/>
        <v>12.5</v>
      </c>
      <c r="S106" s="79"/>
      <c r="T106" s="11"/>
      <c r="U106" s="5">
        <f t="shared" si="40"/>
        <v>0</v>
      </c>
      <c r="V106" s="10">
        <v>11</v>
      </c>
      <c r="X106" s="6">
        <f t="shared" si="30"/>
        <v>11</v>
      </c>
      <c r="Y106" s="6">
        <f t="shared" si="31"/>
        <v>11</v>
      </c>
    </row>
    <row r="107" spans="1:25" s="10" customFormat="1" x14ac:dyDescent="0.25">
      <c r="A107" s="60"/>
      <c r="B107" s="237" t="s">
        <v>225</v>
      </c>
      <c r="C107" s="237"/>
      <c r="D107" s="237"/>
      <c r="E107" s="237"/>
      <c r="F107" s="237"/>
      <c r="G107" s="237"/>
      <c r="H107" s="237"/>
      <c r="I107" s="103">
        <v>0</v>
      </c>
      <c r="J107" s="103">
        <v>0</v>
      </c>
      <c r="K107" s="103">
        <v>0</v>
      </c>
      <c r="L107" s="103">
        <v>0</v>
      </c>
      <c r="M107" s="103">
        <v>0</v>
      </c>
      <c r="N107" s="88">
        <v>0</v>
      </c>
      <c r="O107" s="103">
        <v>39.5</v>
      </c>
      <c r="P107" s="103">
        <v>0</v>
      </c>
      <c r="Q107" s="111"/>
      <c r="R107" s="79">
        <f t="shared" si="29"/>
        <v>39.5</v>
      </c>
      <c r="S107" s="79"/>
      <c r="T107" s="11"/>
      <c r="U107" s="5">
        <f t="shared" si="40"/>
        <v>0</v>
      </c>
      <c r="V107" s="10">
        <v>34.799999999999997</v>
      </c>
      <c r="X107" s="6">
        <f t="shared" si="30"/>
        <v>34.799999999999997</v>
      </c>
      <c r="Y107" s="6">
        <f t="shared" si="31"/>
        <v>34.799999999999997</v>
      </c>
    </row>
    <row r="108" spans="1:25" s="10" customFormat="1" ht="111.75" customHeight="1" x14ac:dyDescent="0.25">
      <c r="A108" s="60" t="s">
        <v>182</v>
      </c>
      <c r="B108" s="152" t="s">
        <v>415</v>
      </c>
      <c r="C108" s="89" t="s">
        <v>222</v>
      </c>
      <c r="D108" s="61" t="s">
        <v>229</v>
      </c>
      <c r="E108" s="92">
        <v>43839</v>
      </c>
      <c r="F108" s="92">
        <v>44196</v>
      </c>
      <c r="G108" s="92">
        <v>43839</v>
      </c>
      <c r="H108" s="92">
        <v>44196</v>
      </c>
      <c r="I108" s="103">
        <v>0</v>
      </c>
      <c r="J108" s="103">
        <v>0</v>
      </c>
      <c r="K108" s="103">
        <v>0</v>
      </c>
      <c r="L108" s="124">
        <v>57.3</v>
      </c>
      <c r="M108" s="103">
        <v>57.3</v>
      </c>
      <c r="N108" s="88">
        <v>0</v>
      </c>
      <c r="O108" s="103">
        <v>192.7</v>
      </c>
      <c r="P108" s="103">
        <f>161.5-L108</f>
        <v>104.2</v>
      </c>
      <c r="Q108" s="57" t="s">
        <v>517</v>
      </c>
      <c r="R108" s="79">
        <f t="shared" si="29"/>
        <v>250</v>
      </c>
      <c r="S108" s="79"/>
      <c r="T108" s="11">
        <f t="shared" si="39"/>
        <v>250</v>
      </c>
      <c r="U108" s="5">
        <f t="shared" si="40"/>
        <v>57.3</v>
      </c>
      <c r="V108" s="11">
        <f>V109+V110</f>
        <v>121.8</v>
      </c>
      <c r="X108" s="6">
        <f t="shared" si="30"/>
        <v>64.5</v>
      </c>
      <c r="Y108" s="6">
        <f t="shared" si="31"/>
        <v>64.5</v>
      </c>
    </row>
    <row r="109" spans="1:25" s="10" customFormat="1" x14ac:dyDescent="0.25">
      <c r="A109" s="60"/>
      <c r="B109" s="237" t="s">
        <v>227</v>
      </c>
      <c r="C109" s="237"/>
      <c r="D109" s="237"/>
      <c r="E109" s="237"/>
      <c r="F109" s="237"/>
      <c r="G109" s="237"/>
      <c r="H109" s="237"/>
      <c r="I109" s="103">
        <v>0</v>
      </c>
      <c r="J109" s="103">
        <v>0</v>
      </c>
      <c r="K109" s="103">
        <v>0</v>
      </c>
      <c r="L109" s="103">
        <v>13.8</v>
      </c>
      <c r="M109" s="103">
        <v>13.8</v>
      </c>
      <c r="N109" s="88">
        <v>0</v>
      </c>
      <c r="O109" s="103">
        <v>46.2</v>
      </c>
      <c r="P109" s="103">
        <v>25</v>
      </c>
      <c r="Q109" s="111"/>
      <c r="R109" s="79">
        <f t="shared" si="29"/>
        <v>60</v>
      </c>
      <c r="S109" s="79"/>
      <c r="T109" s="11"/>
      <c r="U109" s="5">
        <f t="shared" si="40"/>
        <v>13.8</v>
      </c>
      <c r="V109" s="10">
        <v>29.2</v>
      </c>
      <c r="X109" s="6">
        <f t="shared" si="30"/>
        <v>15.399999999999999</v>
      </c>
      <c r="Y109" s="6">
        <f t="shared" si="31"/>
        <v>15.399999999999999</v>
      </c>
    </row>
    <row r="110" spans="1:25" s="10" customFormat="1" x14ac:dyDescent="0.25">
      <c r="A110" s="60"/>
      <c r="B110" s="237" t="s">
        <v>225</v>
      </c>
      <c r="C110" s="237"/>
      <c r="D110" s="237"/>
      <c r="E110" s="237"/>
      <c r="F110" s="237"/>
      <c r="G110" s="237"/>
      <c r="H110" s="237"/>
      <c r="I110" s="103">
        <v>0</v>
      </c>
      <c r="J110" s="103">
        <v>0</v>
      </c>
      <c r="K110" s="103">
        <v>0</v>
      </c>
      <c r="L110" s="103">
        <v>43.5</v>
      </c>
      <c r="M110" s="103">
        <v>43.5</v>
      </c>
      <c r="N110" s="88">
        <v>0</v>
      </c>
      <c r="O110" s="103">
        <v>146.5</v>
      </c>
      <c r="P110" s="103">
        <f>P108-P109</f>
        <v>79.2</v>
      </c>
      <c r="Q110" s="111"/>
      <c r="R110" s="79">
        <f t="shared" si="29"/>
        <v>190</v>
      </c>
      <c r="S110" s="79"/>
      <c r="T110" s="11"/>
      <c r="U110" s="5">
        <f t="shared" si="40"/>
        <v>43.5</v>
      </c>
      <c r="V110" s="11">
        <v>92.6</v>
      </c>
      <c r="X110" s="6">
        <f t="shared" si="30"/>
        <v>49.099999999999994</v>
      </c>
      <c r="Y110" s="6">
        <f t="shared" si="31"/>
        <v>49.099999999999994</v>
      </c>
    </row>
    <row r="111" spans="1:25" s="10" customFormat="1" ht="134.44999999999999" customHeight="1" x14ac:dyDescent="0.25">
      <c r="A111" s="60" t="s">
        <v>185</v>
      </c>
      <c r="B111" s="123" t="s">
        <v>416</v>
      </c>
      <c r="C111" s="89" t="s">
        <v>222</v>
      </c>
      <c r="D111" s="112" t="s">
        <v>282</v>
      </c>
      <c r="E111" s="92">
        <v>43839</v>
      </c>
      <c r="F111" s="92">
        <v>44196</v>
      </c>
      <c r="G111" s="92">
        <v>43839</v>
      </c>
      <c r="H111" s="92">
        <v>44196</v>
      </c>
      <c r="I111" s="103">
        <v>0</v>
      </c>
      <c r="J111" s="103">
        <v>0</v>
      </c>
      <c r="K111" s="103">
        <v>0</v>
      </c>
      <c r="L111" s="103">
        <v>0</v>
      </c>
      <c r="M111" s="103">
        <v>0</v>
      </c>
      <c r="N111" s="88">
        <v>0</v>
      </c>
      <c r="O111" s="103">
        <v>13</v>
      </c>
      <c r="P111" s="103">
        <v>0</v>
      </c>
      <c r="Q111" s="58" t="s">
        <v>493</v>
      </c>
      <c r="R111" s="79">
        <f t="shared" si="29"/>
        <v>13</v>
      </c>
      <c r="S111" s="79"/>
      <c r="T111" s="11">
        <f t="shared" si="39"/>
        <v>13</v>
      </c>
      <c r="U111" s="5">
        <f t="shared" si="40"/>
        <v>0</v>
      </c>
      <c r="V111" s="10">
        <f>V112+V113</f>
        <v>8</v>
      </c>
      <c r="X111" s="6">
        <f t="shared" si="30"/>
        <v>8</v>
      </c>
      <c r="Y111" s="6">
        <f t="shared" si="31"/>
        <v>8</v>
      </c>
    </row>
    <row r="112" spans="1:25" s="10" customFormat="1" x14ac:dyDescent="0.25">
      <c r="A112" s="60"/>
      <c r="B112" s="237" t="s">
        <v>227</v>
      </c>
      <c r="C112" s="237"/>
      <c r="D112" s="237"/>
      <c r="E112" s="237"/>
      <c r="F112" s="237"/>
      <c r="G112" s="237"/>
      <c r="H112" s="237"/>
      <c r="I112" s="103">
        <v>0</v>
      </c>
      <c r="J112" s="103">
        <v>0</v>
      </c>
      <c r="K112" s="103">
        <v>0</v>
      </c>
      <c r="L112" s="103">
        <v>0</v>
      </c>
      <c r="M112" s="103">
        <v>0</v>
      </c>
      <c r="N112" s="88">
        <v>0</v>
      </c>
      <c r="O112" s="103">
        <v>3.1</v>
      </c>
      <c r="P112" s="103">
        <v>0</v>
      </c>
      <c r="Q112" s="111"/>
      <c r="R112" s="79">
        <f t="shared" si="29"/>
        <v>3.1</v>
      </c>
      <c r="S112" s="79"/>
      <c r="T112" s="11"/>
      <c r="U112" s="5">
        <f t="shared" si="40"/>
        <v>0</v>
      </c>
      <c r="V112" s="10">
        <v>1.9</v>
      </c>
      <c r="X112" s="6">
        <f t="shared" si="30"/>
        <v>1.9</v>
      </c>
      <c r="Y112" s="6">
        <f t="shared" si="31"/>
        <v>1.9</v>
      </c>
    </row>
    <row r="113" spans="1:31" s="10" customFormat="1" x14ac:dyDescent="0.25">
      <c r="A113" s="60"/>
      <c r="B113" s="237" t="s">
        <v>225</v>
      </c>
      <c r="C113" s="237"/>
      <c r="D113" s="237"/>
      <c r="E113" s="237"/>
      <c r="F113" s="237"/>
      <c r="G113" s="237"/>
      <c r="H113" s="237"/>
      <c r="I113" s="103">
        <v>0</v>
      </c>
      <c r="J113" s="103">
        <v>0</v>
      </c>
      <c r="K113" s="103">
        <v>0</v>
      </c>
      <c r="L113" s="103">
        <v>0</v>
      </c>
      <c r="M113" s="103">
        <v>0</v>
      </c>
      <c r="N113" s="88">
        <v>0</v>
      </c>
      <c r="O113" s="103">
        <v>9.9</v>
      </c>
      <c r="P113" s="103">
        <v>0</v>
      </c>
      <c r="Q113" s="111"/>
      <c r="R113" s="79">
        <f t="shared" si="29"/>
        <v>9.9</v>
      </c>
      <c r="S113" s="79"/>
      <c r="T113" s="11"/>
      <c r="U113" s="5">
        <f t="shared" si="40"/>
        <v>0</v>
      </c>
      <c r="V113" s="10">
        <v>6.1</v>
      </c>
      <c r="X113" s="6">
        <f t="shared" si="30"/>
        <v>6.1</v>
      </c>
      <c r="Y113" s="6">
        <f t="shared" si="31"/>
        <v>6.1</v>
      </c>
    </row>
    <row r="114" spans="1:31" s="10" customFormat="1" ht="139.5" customHeight="1" x14ac:dyDescent="0.25">
      <c r="A114" s="60" t="s">
        <v>187</v>
      </c>
      <c r="B114" s="123" t="s">
        <v>417</v>
      </c>
      <c r="C114" s="89" t="s">
        <v>222</v>
      </c>
      <c r="D114" s="112" t="s">
        <v>282</v>
      </c>
      <c r="E114" s="92">
        <v>43839</v>
      </c>
      <c r="F114" s="92">
        <v>44196</v>
      </c>
      <c r="G114" s="92">
        <v>43839</v>
      </c>
      <c r="H114" s="92">
        <v>44196</v>
      </c>
      <c r="I114" s="103">
        <v>0</v>
      </c>
      <c r="J114" s="103">
        <v>0</v>
      </c>
      <c r="K114" s="103">
        <v>0</v>
      </c>
      <c r="L114" s="103">
        <v>0</v>
      </c>
      <c r="M114" s="103">
        <v>0</v>
      </c>
      <c r="N114" s="88">
        <v>0</v>
      </c>
      <c r="O114" s="103">
        <v>50</v>
      </c>
      <c r="P114" s="103">
        <v>0</v>
      </c>
      <c r="Q114" s="57" t="s">
        <v>494</v>
      </c>
      <c r="R114" s="79">
        <f t="shared" si="29"/>
        <v>50</v>
      </c>
      <c r="S114" s="79"/>
      <c r="T114" s="11"/>
      <c r="U114" s="5">
        <f t="shared" si="40"/>
        <v>0</v>
      </c>
      <c r="V114" s="10">
        <f>V115+V116</f>
        <v>76.599999999999994</v>
      </c>
      <c r="X114" s="6">
        <f t="shared" si="30"/>
        <v>76.599999999999994</v>
      </c>
      <c r="Y114" s="6">
        <f t="shared" si="31"/>
        <v>76.599999999999994</v>
      </c>
    </row>
    <row r="115" spans="1:31" s="10" customFormat="1" x14ac:dyDescent="0.25">
      <c r="A115" s="60"/>
      <c r="B115" s="237" t="s">
        <v>227</v>
      </c>
      <c r="C115" s="237"/>
      <c r="D115" s="237"/>
      <c r="E115" s="237"/>
      <c r="F115" s="237"/>
      <c r="G115" s="237"/>
      <c r="H115" s="237"/>
      <c r="I115" s="103">
        <v>0</v>
      </c>
      <c r="J115" s="103">
        <v>0</v>
      </c>
      <c r="K115" s="103">
        <v>0</v>
      </c>
      <c r="L115" s="103">
        <v>0</v>
      </c>
      <c r="M115" s="103">
        <v>0</v>
      </c>
      <c r="N115" s="88">
        <v>0</v>
      </c>
      <c r="O115" s="103">
        <v>12</v>
      </c>
      <c r="P115" s="103">
        <v>0</v>
      </c>
      <c r="Q115" s="111"/>
      <c r="R115" s="79">
        <f t="shared" si="29"/>
        <v>12</v>
      </c>
      <c r="S115" s="79"/>
      <c r="T115" s="11"/>
      <c r="U115" s="5">
        <f t="shared" si="40"/>
        <v>0</v>
      </c>
      <c r="V115" s="10">
        <v>18.399999999999999</v>
      </c>
      <c r="X115" s="6">
        <f t="shared" si="30"/>
        <v>18.399999999999999</v>
      </c>
      <c r="Y115" s="6">
        <f t="shared" si="31"/>
        <v>18.399999999999999</v>
      </c>
    </row>
    <row r="116" spans="1:31" s="10" customFormat="1" x14ac:dyDescent="0.25">
      <c r="A116" s="60"/>
      <c r="B116" s="237" t="s">
        <v>225</v>
      </c>
      <c r="C116" s="237"/>
      <c r="D116" s="237"/>
      <c r="E116" s="237"/>
      <c r="F116" s="237"/>
      <c r="G116" s="237"/>
      <c r="H116" s="237"/>
      <c r="I116" s="103">
        <v>0</v>
      </c>
      <c r="J116" s="103">
        <v>0</v>
      </c>
      <c r="K116" s="103">
        <v>0</v>
      </c>
      <c r="L116" s="103">
        <v>0</v>
      </c>
      <c r="M116" s="103">
        <v>0</v>
      </c>
      <c r="N116" s="88">
        <v>0</v>
      </c>
      <c r="O116" s="103">
        <v>38</v>
      </c>
      <c r="P116" s="103">
        <v>0</v>
      </c>
      <c r="Q116" s="111"/>
      <c r="R116" s="79">
        <f t="shared" si="29"/>
        <v>38</v>
      </c>
      <c r="S116" s="79"/>
      <c r="T116" s="11"/>
      <c r="U116" s="5">
        <f t="shared" si="40"/>
        <v>0</v>
      </c>
      <c r="V116" s="10">
        <v>58.2</v>
      </c>
      <c r="X116" s="6">
        <f t="shared" si="30"/>
        <v>58.2</v>
      </c>
      <c r="Y116" s="6">
        <f t="shared" si="31"/>
        <v>58.2</v>
      </c>
    </row>
    <row r="117" spans="1:31" s="10" customFormat="1" ht="133.5" customHeight="1" x14ac:dyDescent="0.25">
      <c r="A117" s="60" t="s">
        <v>203</v>
      </c>
      <c r="B117" s="123" t="s">
        <v>418</v>
      </c>
      <c r="C117" s="89" t="s">
        <v>222</v>
      </c>
      <c r="D117" s="112" t="s">
        <v>282</v>
      </c>
      <c r="E117" s="92">
        <v>43839</v>
      </c>
      <c r="F117" s="92">
        <v>44196</v>
      </c>
      <c r="G117" s="92">
        <v>43839</v>
      </c>
      <c r="H117" s="92">
        <v>44196</v>
      </c>
      <c r="I117" s="111" t="s">
        <v>137</v>
      </c>
      <c r="J117" s="111" t="s">
        <v>137</v>
      </c>
      <c r="K117" s="111" t="s">
        <v>137</v>
      </c>
      <c r="L117" s="111" t="s">
        <v>137</v>
      </c>
      <c r="M117" s="111" t="s">
        <v>137</v>
      </c>
      <c r="N117" s="111" t="s">
        <v>137</v>
      </c>
      <c r="O117" s="103" t="s">
        <v>137</v>
      </c>
      <c r="P117" s="111" t="s">
        <v>137</v>
      </c>
      <c r="Q117" s="111" t="s">
        <v>137</v>
      </c>
      <c r="R117" s="79" t="e">
        <f t="shared" si="29"/>
        <v>#VALUE!</v>
      </c>
      <c r="S117" s="79"/>
      <c r="T117" s="11"/>
      <c r="U117" s="5" t="e">
        <f t="shared" si="40"/>
        <v>#VALUE!</v>
      </c>
      <c r="X117" s="6" t="e">
        <f t="shared" si="30"/>
        <v>#VALUE!</v>
      </c>
      <c r="Y117" s="6" t="e">
        <f t="shared" si="31"/>
        <v>#VALUE!</v>
      </c>
    </row>
    <row r="118" spans="1:31" s="10" customFormat="1" ht="39.75" customHeight="1" x14ac:dyDescent="0.25">
      <c r="A118" s="235" t="s">
        <v>230</v>
      </c>
      <c r="B118" s="235"/>
      <c r="C118" s="235"/>
      <c r="D118" s="235"/>
      <c r="E118" s="235"/>
      <c r="F118" s="235"/>
      <c r="G118" s="235"/>
      <c r="H118" s="235"/>
      <c r="I118" s="103">
        <f>I119+I120</f>
        <v>0</v>
      </c>
      <c r="J118" s="103">
        <f t="shared" ref="J118:P118" si="41">J119+J120</f>
        <v>0</v>
      </c>
      <c r="K118" s="103">
        <f t="shared" si="41"/>
        <v>0</v>
      </c>
      <c r="L118" s="103">
        <f t="shared" si="41"/>
        <v>57.3</v>
      </c>
      <c r="M118" s="103">
        <f t="shared" si="41"/>
        <v>57.3</v>
      </c>
      <c r="N118" s="103">
        <f t="shared" si="41"/>
        <v>0</v>
      </c>
      <c r="O118" s="103">
        <f t="shared" si="41"/>
        <v>307.70000000000005</v>
      </c>
      <c r="P118" s="103">
        <f t="shared" si="41"/>
        <v>104.2</v>
      </c>
      <c r="Q118" s="111"/>
      <c r="R118" s="79">
        <f t="shared" si="29"/>
        <v>365.00000000000006</v>
      </c>
      <c r="S118" s="79"/>
      <c r="T118" s="11"/>
      <c r="U118" s="5">
        <f t="shared" si="40"/>
        <v>57.3</v>
      </c>
      <c r="X118" s="6">
        <f t="shared" si="30"/>
        <v>-57.3</v>
      </c>
      <c r="Y118" s="6">
        <f t="shared" si="31"/>
        <v>-57.3</v>
      </c>
    </row>
    <row r="119" spans="1:31" s="10" customFormat="1" x14ac:dyDescent="0.25">
      <c r="A119" s="237" t="s">
        <v>227</v>
      </c>
      <c r="B119" s="237"/>
      <c r="C119" s="237"/>
      <c r="D119" s="237"/>
      <c r="E119" s="237"/>
      <c r="F119" s="237"/>
      <c r="G119" s="237"/>
      <c r="H119" s="237"/>
      <c r="I119" s="103">
        <f>I106+I109+I112+I115</f>
        <v>0</v>
      </c>
      <c r="J119" s="103">
        <f t="shared" ref="J119:P120" si="42">J106+J109+J112+J115</f>
        <v>0</v>
      </c>
      <c r="K119" s="103">
        <f t="shared" si="42"/>
        <v>0</v>
      </c>
      <c r="L119" s="103">
        <f t="shared" si="42"/>
        <v>13.8</v>
      </c>
      <c r="M119" s="103">
        <f t="shared" si="42"/>
        <v>13.8</v>
      </c>
      <c r="N119" s="103">
        <f t="shared" si="42"/>
        <v>0</v>
      </c>
      <c r="O119" s="103">
        <f t="shared" si="42"/>
        <v>73.800000000000011</v>
      </c>
      <c r="P119" s="103">
        <f t="shared" si="42"/>
        <v>25</v>
      </c>
      <c r="Q119" s="111"/>
      <c r="R119" s="79">
        <f t="shared" si="29"/>
        <v>87.600000000000009</v>
      </c>
      <c r="S119" s="79"/>
      <c r="T119" s="11"/>
      <c r="U119" s="5">
        <f t="shared" si="40"/>
        <v>13.8</v>
      </c>
      <c r="X119" s="6">
        <f t="shared" si="30"/>
        <v>-13.8</v>
      </c>
      <c r="Y119" s="6">
        <f t="shared" ref="Y119:Y123" si="43">X119-N119</f>
        <v>-13.8</v>
      </c>
    </row>
    <row r="120" spans="1:31" s="10" customFormat="1" x14ac:dyDescent="0.25">
      <c r="A120" s="237" t="s">
        <v>225</v>
      </c>
      <c r="B120" s="237"/>
      <c r="C120" s="237"/>
      <c r="D120" s="237"/>
      <c r="E120" s="237"/>
      <c r="F120" s="237"/>
      <c r="G120" s="237"/>
      <c r="H120" s="237"/>
      <c r="I120" s="103">
        <f>I107+I110+I113+I116</f>
        <v>0</v>
      </c>
      <c r="J120" s="103">
        <f t="shared" si="42"/>
        <v>0</v>
      </c>
      <c r="K120" s="103">
        <f t="shared" si="42"/>
        <v>0</v>
      </c>
      <c r="L120" s="103">
        <f t="shared" si="42"/>
        <v>43.5</v>
      </c>
      <c r="M120" s="103">
        <f t="shared" si="42"/>
        <v>43.5</v>
      </c>
      <c r="N120" s="103">
        <f t="shared" si="42"/>
        <v>0</v>
      </c>
      <c r="O120" s="103">
        <f t="shared" si="42"/>
        <v>233.9</v>
      </c>
      <c r="P120" s="103">
        <f t="shared" si="42"/>
        <v>79.2</v>
      </c>
      <c r="Q120" s="111"/>
      <c r="R120" s="79">
        <f t="shared" si="29"/>
        <v>277.39999999999998</v>
      </c>
      <c r="S120" s="79"/>
      <c r="T120" s="11"/>
      <c r="U120" s="5">
        <f t="shared" si="40"/>
        <v>43.5</v>
      </c>
      <c r="X120" s="6">
        <f t="shared" si="30"/>
        <v>-43.5</v>
      </c>
      <c r="Y120" s="6">
        <f t="shared" si="43"/>
        <v>-43.5</v>
      </c>
    </row>
    <row r="121" spans="1:31" s="10" customFormat="1" x14ac:dyDescent="0.25">
      <c r="A121" s="239" t="s">
        <v>231</v>
      </c>
      <c r="B121" s="239"/>
      <c r="C121" s="239"/>
      <c r="D121" s="239"/>
      <c r="E121" s="239"/>
      <c r="F121" s="239"/>
      <c r="G121" s="239"/>
      <c r="H121" s="239"/>
      <c r="I121" s="103">
        <f>I122+I123</f>
        <v>416144.6</v>
      </c>
      <c r="J121" s="103">
        <f>J122+J123</f>
        <v>426708.80000000005</v>
      </c>
      <c r="K121" s="103">
        <f t="shared" ref="K121:P121" si="44">K122+K123</f>
        <v>1033283.4</v>
      </c>
      <c r="L121" s="103">
        <f t="shared" si="44"/>
        <v>1184817.7</v>
      </c>
      <c r="M121" s="103">
        <f t="shared" si="44"/>
        <v>3437555.9000000004</v>
      </c>
      <c r="N121" s="103">
        <f t="shared" si="44"/>
        <v>3441500</v>
      </c>
      <c r="O121" s="103">
        <f t="shared" si="44"/>
        <v>2839999.1999999997</v>
      </c>
      <c r="P121" s="103">
        <f t="shared" si="44"/>
        <v>2049441.8</v>
      </c>
      <c r="Q121" s="111"/>
      <c r="R121" s="79">
        <f>I121+K121+M121+O121</f>
        <v>7726983.0999999996</v>
      </c>
      <c r="S121" s="79">
        <f>J121+L121+N121+P121</f>
        <v>7102468.2999999998</v>
      </c>
      <c r="T121" s="11">
        <f>J121+L121</f>
        <v>1611526.5</v>
      </c>
      <c r="U121" s="5">
        <f t="shared" si="40"/>
        <v>1611526.5</v>
      </c>
      <c r="X121" s="6">
        <f t="shared" si="30"/>
        <v>-1611526.5</v>
      </c>
      <c r="Y121" s="6">
        <f t="shared" si="43"/>
        <v>-5053026.5</v>
      </c>
    </row>
    <row r="122" spans="1:31" s="10" customFormat="1" x14ac:dyDescent="0.25">
      <c r="A122" s="240" t="s">
        <v>227</v>
      </c>
      <c r="B122" s="240"/>
      <c r="C122" s="240"/>
      <c r="D122" s="240"/>
      <c r="E122" s="240"/>
      <c r="F122" s="240"/>
      <c r="G122" s="240"/>
      <c r="H122" s="240"/>
      <c r="I122" s="103">
        <f t="shared" ref="I122" si="45">I119+I71+I102</f>
        <v>122376</v>
      </c>
      <c r="J122" s="103">
        <f t="shared" ref="J122:P122" si="46">J119+J71+J102</f>
        <v>125152.40000000001</v>
      </c>
      <c r="K122" s="103">
        <f>K119+K71+K102</f>
        <v>170484.6</v>
      </c>
      <c r="L122" s="103">
        <f t="shared" ref="L122:O122" si="47">L119+L71+L102</f>
        <v>173051.99999999997</v>
      </c>
      <c r="M122" s="103">
        <f t="shared" si="47"/>
        <v>227835.19999999995</v>
      </c>
      <c r="N122" s="103">
        <f t="shared" si="47"/>
        <v>229039.80000000005</v>
      </c>
      <c r="O122" s="103">
        <f t="shared" si="47"/>
        <v>351133.99999999994</v>
      </c>
      <c r="P122" s="103">
        <f t="shared" si="46"/>
        <v>328171.30000000005</v>
      </c>
      <c r="Q122" s="111"/>
      <c r="R122" s="79">
        <f>I122+K122+M122+O122</f>
        <v>871829.79999999981</v>
      </c>
      <c r="S122" s="79">
        <f>J122+L122+N122+P122</f>
        <v>855415.5</v>
      </c>
      <c r="T122" s="11">
        <f>J122+L122</f>
        <v>298204.39999999997</v>
      </c>
      <c r="U122" s="5">
        <f t="shared" si="40"/>
        <v>298204.39999999997</v>
      </c>
      <c r="X122" s="6">
        <f t="shared" si="30"/>
        <v>-298204.39999999997</v>
      </c>
      <c r="Y122" s="6">
        <f t="shared" si="43"/>
        <v>-527244.19999999995</v>
      </c>
    </row>
    <row r="123" spans="1:31" s="10" customFormat="1" x14ac:dyDescent="0.25">
      <c r="A123" s="240" t="s">
        <v>225</v>
      </c>
      <c r="B123" s="240"/>
      <c r="C123" s="240"/>
      <c r="D123" s="240"/>
      <c r="E123" s="240"/>
      <c r="F123" s="240"/>
      <c r="G123" s="240"/>
      <c r="H123" s="240"/>
      <c r="I123" s="103">
        <f t="shared" ref="I123" si="48">I120+I72+I103</f>
        <v>293768.59999999998</v>
      </c>
      <c r="J123" s="103">
        <f t="shared" ref="J123:P123" si="49">J120+J72+J103</f>
        <v>301556.40000000002</v>
      </c>
      <c r="K123" s="103">
        <f t="shared" si="49"/>
        <v>862798.8</v>
      </c>
      <c r="L123" s="103">
        <f t="shared" ref="L123:O123" si="50">L120+L72+L103</f>
        <v>1011765.7000000001</v>
      </c>
      <c r="M123" s="103">
        <f t="shared" si="50"/>
        <v>3209720.7</v>
      </c>
      <c r="N123" s="103">
        <f t="shared" si="50"/>
        <v>3212460.2</v>
      </c>
      <c r="O123" s="103">
        <f t="shared" si="50"/>
        <v>2488865.1999999997</v>
      </c>
      <c r="P123" s="103">
        <f t="shared" si="49"/>
        <v>1721270.5</v>
      </c>
      <c r="Q123" s="111"/>
      <c r="R123" s="79">
        <f t="shared" si="29"/>
        <v>6855153.2999999989</v>
      </c>
      <c r="S123" s="79">
        <f t="shared" si="29"/>
        <v>6247052.8000000007</v>
      </c>
      <c r="T123" s="11">
        <f>J123+L123</f>
        <v>1313322.1000000001</v>
      </c>
      <c r="U123" s="5">
        <f t="shared" si="40"/>
        <v>1313322.1000000001</v>
      </c>
      <c r="X123" s="6">
        <f t="shared" si="30"/>
        <v>-1313322.1000000001</v>
      </c>
      <c r="Y123" s="6">
        <f t="shared" si="43"/>
        <v>-4525782.3000000007</v>
      </c>
    </row>
    <row r="124" spans="1:31" s="15" customFormat="1" ht="96.6" customHeight="1" x14ac:dyDescent="0.3">
      <c r="A124" s="241" t="s">
        <v>353</v>
      </c>
      <c r="B124" s="241"/>
      <c r="C124" s="241"/>
      <c r="D124" s="241"/>
      <c r="E124" s="241"/>
      <c r="F124" s="13"/>
      <c r="G124" s="5"/>
      <c r="H124" s="13"/>
      <c r="I124" s="126"/>
      <c r="J124" s="127"/>
      <c r="K124" s="26"/>
      <c r="L124" s="26"/>
      <c r="M124" s="143"/>
      <c r="N124" s="128"/>
      <c r="O124" s="190"/>
      <c r="P124" s="129"/>
      <c r="Q124" s="125" t="s">
        <v>354</v>
      </c>
      <c r="R124" s="5"/>
      <c r="S124" s="43"/>
      <c r="T124" s="14"/>
      <c r="V124" s="14"/>
      <c r="W124" s="5"/>
      <c r="X124" s="5"/>
      <c r="Z124" s="5"/>
    </row>
    <row r="125" spans="1:31" s="15" customFormat="1" ht="24.75" customHeight="1" x14ac:dyDescent="0.25">
      <c r="B125" s="16"/>
      <c r="C125" s="16"/>
      <c r="D125" s="16"/>
      <c r="E125" s="17"/>
      <c r="G125" s="18"/>
      <c r="H125" s="19"/>
      <c r="I125" s="24"/>
      <c r="J125" s="26"/>
      <c r="K125" s="26"/>
      <c r="L125" s="26"/>
      <c r="M125" s="52"/>
      <c r="N125" s="130"/>
      <c r="O125" s="52"/>
      <c r="P125" s="52"/>
      <c r="S125" s="27"/>
      <c r="W125" s="5"/>
      <c r="X125" s="5"/>
      <c r="Z125" s="5"/>
    </row>
    <row r="126" spans="1:31" s="15" customFormat="1" ht="36" customHeight="1" x14ac:dyDescent="0.25">
      <c r="A126" s="238" t="s">
        <v>395</v>
      </c>
      <c r="B126" s="238"/>
      <c r="C126" s="17"/>
      <c r="D126" s="17"/>
      <c r="E126" s="17"/>
      <c r="F126" s="17"/>
      <c r="G126" s="17"/>
      <c r="H126" s="17"/>
      <c r="I126" s="46"/>
      <c r="J126" s="46"/>
      <c r="K126" s="46"/>
      <c r="L126" s="46"/>
      <c r="M126" s="46"/>
      <c r="N126" s="46"/>
      <c r="O126" s="46"/>
      <c r="P126" s="46"/>
      <c r="Q126" s="17"/>
      <c r="R126" s="17"/>
      <c r="S126" s="17"/>
      <c r="T126" s="17"/>
      <c r="U126" s="17"/>
      <c r="V126" s="17"/>
      <c r="W126" s="17"/>
      <c r="X126" s="17"/>
      <c r="Y126" s="17"/>
    </row>
    <row r="127" spans="1:31" s="21" customFormat="1" ht="284.25" customHeight="1" x14ac:dyDescent="0.25">
      <c r="A127" s="25"/>
      <c r="B127" s="5"/>
      <c r="C127" s="5"/>
      <c r="D127" s="5"/>
      <c r="E127" s="5"/>
      <c r="F127" s="20"/>
      <c r="I127" s="131"/>
      <c r="J127" s="131"/>
      <c r="K127" s="131"/>
      <c r="L127" s="131"/>
      <c r="M127" s="131"/>
      <c r="N127" s="131"/>
      <c r="O127" s="131"/>
      <c r="P127" s="131"/>
      <c r="AB127" s="22"/>
      <c r="AC127" s="22"/>
      <c r="AD127" s="22"/>
      <c r="AE127" s="22"/>
    </row>
    <row r="128" spans="1:31" s="21" customFormat="1" ht="17.45" customHeight="1" x14ac:dyDescent="0.25">
      <c r="A128" s="35"/>
      <c r="B128" s="5"/>
      <c r="C128" s="5"/>
      <c r="D128" s="5"/>
      <c r="E128" s="5"/>
      <c r="F128" s="20"/>
      <c r="I128" s="131"/>
      <c r="J128" s="131"/>
      <c r="K128" s="131"/>
      <c r="L128" s="131"/>
      <c r="M128" s="131"/>
      <c r="N128" s="131"/>
      <c r="O128" s="131"/>
      <c r="P128" s="131"/>
      <c r="AB128" s="22"/>
      <c r="AC128" s="22"/>
      <c r="AD128" s="22"/>
      <c r="AE128" s="22" t="s">
        <v>232</v>
      </c>
    </row>
    <row r="129" spans="1:1" x14ac:dyDescent="0.25">
      <c r="A129" s="17"/>
    </row>
    <row r="130" spans="1:1" x14ac:dyDescent="0.25">
      <c r="A130" s="35"/>
    </row>
  </sheetData>
  <autoFilter ref="A10:AE125"/>
  <mergeCells count="42">
    <mergeCell ref="A126:B126"/>
    <mergeCell ref="A119:H119"/>
    <mergeCell ref="A120:H120"/>
    <mergeCell ref="A121:H121"/>
    <mergeCell ref="A122:H122"/>
    <mergeCell ref="A123:H123"/>
    <mergeCell ref="A124:E124"/>
    <mergeCell ref="A118:H118"/>
    <mergeCell ref="A71:H71"/>
    <mergeCell ref="A72:H72"/>
    <mergeCell ref="A101:H101"/>
    <mergeCell ref="B106:H106"/>
    <mergeCell ref="B107:H107"/>
    <mergeCell ref="B109:H109"/>
    <mergeCell ref="B110:H110"/>
    <mergeCell ref="B112:H112"/>
    <mergeCell ref="B113:H113"/>
    <mergeCell ref="B115:H115"/>
    <mergeCell ref="B116:H116"/>
    <mergeCell ref="A102:H102"/>
    <mergeCell ref="A103:H103"/>
    <mergeCell ref="A70:H70"/>
    <mergeCell ref="A6:Q6"/>
    <mergeCell ref="A7:A9"/>
    <mergeCell ref="B7:B9"/>
    <mergeCell ref="C7:C9"/>
    <mergeCell ref="D7:D9"/>
    <mergeCell ref="E7:E9"/>
    <mergeCell ref="F7:F9"/>
    <mergeCell ref="G7:G9"/>
    <mergeCell ref="H7:H9"/>
    <mergeCell ref="I7:P7"/>
    <mergeCell ref="Q7:Q9"/>
    <mergeCell ref="I8:J8"/>
    <mergeCell ref="K8:L8"/>
    <mergeCell ref="M8:N8"/>
    <mergeCell ref="O8:P8"/>
    <mergeCell ref="A5:Q5"/>
    <mergeCell ref="A1:Q1"/>
    <mergeCell ref="A2:Q2"/>
    <mergeCell ref="A3:Q3"/>
    <mergeCell ref="A4:Q4"/>
  </mergeCells>
  <pageMargins left="0.39370078740157483" right="0.39370078740157483" top="1.1811023622047245" bottom="0.39370078740157483" header="0" footer="0"/>
  <pageSetup paperSize="9" scale="51" fitToHeight="0" orientation="landscape" r:id="rId1"/>
  <headerFooter>
    <oddFooter>&amp;C &amp;P</oddFooter>
  </headerFooter>
  <rowBreaks count="3" manualBreakCount="3">
    <brk id="23" max="16" man="1"/>
    <brk id="26" max="16" man="1"/>
    <brk id="68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Финансирование</vt:lpstr>
      <vt:lpstr>Показатели</vt:lpstr>
      <vt:lpstr>План реализации</vt:lpstr>
      <vt:lpstr>Лист1</vt:lpstr>
      <vt:lpstr>'План реализации'!_ednref1</vt:lpstr>
      <vt:lpstr>'План реализации'!_ednref2</vt:lpstr>
      <vt:lpstr>'План реализации'!_ednref3</vt:lpstr>
      <vt:lpstr>'План реализации'!Заголовки_для_печати</vt:lpstr>
      <vt:lpstr>Финансирование!Заголовки_для_печати</vt:lpstr>
      <vt:lpstr>'План реализации'!Область_печати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Салатгереева Каралина Сайгитбаталовна</cp:lastModifiedBy>
  <cp:lastPrinted>2021-04-12T06:53:47Z</cp:lastPrinted>
  <dcterms:created xsi:type="dcterms:W3CDTF">2010-04-08T05:43:02Z</dcterms:created>
  <dcterms:modified xsi:type="dcterms:W3CDTF">2021-04-12T07:04:19Z</dcterms:modified>
</cp:coreProperties>
</file>