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mtsr-ser18\нац проекты\!ГОСПРОГРАММЫ\ПРОВЕРКИ\2021\КСП апрель\СПГ\"/>
    </mc:Choice>
  </mc:AlternateContent>
  <bookViews>
    <workbookView xWindow="15270" yWindow="3450" windowWidth="14565" windowHeight="12585"/>
  </bookViews>
  <sheets>
    <sheet name="Финансирование" sheetId="1" r:id="rId1"/>
    <sheet name="Показатели, Критерии" sheetId="2" r:id="rId2"/>
    <sheet name="План реализации" sheetId="3" r:id="rId3"/>
  </sheets>
  <definedNames>
    <definedName name="_xlnm._FilterDatabase" localSheetId="2" hidden="1">'План реализации'!$A$9:$Q$9</definedName>
    <definedName name="Z_9C37FF47_DD3C_484B_9633_D678A759C142_.wvu.Cols" localSheetId="0" hidden="1">Финансирование!$AB:$AO,Финансирование!#REF!</definedName>
    <definedName name="Z_9C37FF47_DD3C_484B_9633_D678A759C142_.wvu.FilterData" localSheetId="2" hidden="1">'План реализации'!$A$9:$Q$9</definedName>
    <definedName name="Z_9C37FF47_DD3C_484B_9633_D678A759C142_.wvu.PrintArea" localSheetId="2" hidden="1">'План реализации'!$A$1:$Q$136</definedName>
    <definedName name="Z_9C37FF47_DD3C_484B_9633_D678A759C142_.wvu.PrintArea" localSheetId="1" hidden="1">'Показатели, Критерии'!$A$1:$G$48</definedName>
    <definedName name="Z_9C37FF47_DD3C_484B_9633_D678A759C142_.wvu.PrintArea" localSheetId="0" hidden="1">Финансирование!$A$1:$AA$176</definedName>
    <definedName name="Z_9C37FF47_DD3C_484B_9633_D678A759C142_.wvu.PrintTitles" localSheetId="2" hidden="1">'План реализации'!$9:$9</definedName>
    <definedName name="Z_9C37FF47_DD3C_484B_9633_D678A759C142_.wvu.PrintTitles" localSheetId="1" hidden="1">'Показатели, Критерии'!$9:$9</definedName>
    <definedName name="Z_9C37FF47_DD3C_484B_9633_D678A759C142_.wvu.PrintTitles" localSheetId="0" hidden="1">Финансирование!$10:$10</definedName>
    <definedName name="Z_9C37FF47_DD3C_484B_9633_D678A759C142_.wvu.Rows" localSheetId="2" hidden="1">'План реализации'!$25:$25,'План реализации'!$114:$114,'План реализации'!$118:$118</definedName>
    <definedName name="Z_9C37FF47_DD3C_484B_9633_D678A759C142_.wvu.Rows" localSheetId="0" hidden="1">Финансирование!$32:$32,Финансирование!$85:$85</definedName>
    <definedName name="Z_DAA129B7_49F7_47F4_BBAF_F3BC13A03360_.wvu.Cols" localSheetId="0" hidden="1">Финансирование!$AB:$AO,Финансирование!#REF!</definedName>
    <definedName name="Z_DAA129B7_49F7_47F4_BBAF_F3BC13A03360_.wvu.FilterData" localSheetId="2" hidden="1">'План реализации'!$A$9:$Q$9</definedName>
    <definedName name="Z_DAA129B7_49F7_47F4_BBAF_F3BC13A03360_.wvu.PrintArea" localSheetId="2" hidden="1">'План реализации'!$A$1:$Q$135</definedName>
    <definedName name="Z_DAA129B7_49F7_47F4_BBAF_F3BC13A03360_.wvu.PrintArea" localSheetId="1" hidden="1">'Показатели, Критерии'!$A$1:$G$56</definedName>
    <definedName name="Z_DAA129B7_49F7_47F4_BBAF_F3BC13A03360_.wvu.PrintArea" localSheetId="0" hidden="1">Финансирование!$A$1:$AA$162</definedName>
    <definedName name="Z_DAA129B7_49F7_47F4_BBAF_F3BC13A03360_.wvu.PrintTitles" localSheetId="2" hidden="1">'План реализации'!$9:$9</definedName>
    <definedName name="Z_DAA129B7_49F7_47F4_BBAF_F3BC13A03360_.wvu.PrintTitles" localSheetId="1" hidden="1">'Показатели, Критерии'!$9:$9</definedName>
    <definedName name="Z_DAA129B7_49F7_47F4_BBAF_F3BC13A03360_.wvu.PrintTitles" localSheetId="0" hidden="1">Финансирование!$10:$10</definedName>
    <definedName name="Z_DAA129B7_49F7_47F4_BBAF_F3BC13A03360_.wvu.Rows" localSheetId="2" hidden="1">'План реализации'!$25:$25,'План реализации'!$114:$114,'План реализации'!$118:$118</definedName>
    <definedName name="Z_DAA129B7_49F7_47F4_BBAF_F3BC13A03360_.wvu.Rows" localSheetId="0" hidden="1">Финансирование!$32:$32,Финансирование!$85:$85</definedName>
    <definedName name="_xlnm.Print_Titles" localSheetId="2">'План реализации'!$9:$9</definedName>
    <definedName name="_xlnm.Print_Titles" localSheetId="1">'Показатели, Критерии'!$9:$9</definedName>
    <definedName name="_xlnm.Print_Titles" localSheetId="0">Финансирование!$10:$10</definedName>
    <definedName name="_xlnm.Print_Area" localSheetId="2">'План реализации'!$A$1:$Q$136</definedName>
    <definedName name="_xlnm.Print_Area" localSheetId="1">'Показатели, Критерии'!$A$1:$G$52</definedName>
    <definedName name="_xlnm.Print_Area" localSheetId="0">Финансирование!$A$1:$AA$186</definedName>
  </definedNames>
  <calcPr calcId="152511"/>
  <customWorkbookViews>
    <customWorkbookView name="Габриэлян Владислав Александрович - Личное представление" guid="{DAA129B7-49F7-47F4-BBAF-F3BC13A03360}" mergeInterval="0" personalView="1" maximized="1" xWindow="-8" yWindow="-8" windowWidth="1696" windowHeight="1026" activeSheetId="1"/>
    <customWorkbookView name="Тришкин Данил Олегович - Личное представление" guid="{9C37FF47-DD3C-484B-9633-D678A759C142}" mergeInterval="0" personalView="1" maximized="1" xWindow="-8" yWindow="-8" windowWidth="1936" windowHeight="1056" activeSheetId="1"/>
  </customWorkbookViews>
</workbook>
</file>

<file path=xl/calcChain.xml><?xml version="1.0" encoding="utf-8"?>
<calcChain xmlns="http://schemas.openxmlformats.org/spreadsheetml/2006/main">
  <c r="AC85" i="1" l="1"/>
  <c r="K63" i="1" l="1"/>
  <c r="K62" i="1" s="1"/>
  <c r="P62" i="1"/>
  <c r="K86" i="1" l="1"/>
  <c r="K82" i="1"/>
  <c r="K80" i="1"/>
  <c r="K67" i="1"/>
  <c r="K65" i="1" s="1"/>
  <c r="P80" i="1" l="1"/>
  <c r="T62" i="1"/>
  <c r="P67" i="1"/>
  <c r="P65" i="1" s="1"/>
  <c r="P64" i="3" l="1"/>
  <c r="P61" i="1" l="1"/>
  <c r="T86" i="1" l="1"/>
  <c r="T65" i="1"/>
  <c r="T21" i="1"/>
  <c r="Y87" i="1" l="1"/>
  <c r="P98" i="3" l="1"/>
  <c r="N79" i="1" l="1"/>
  <c r="P50" i="3" l="1"/>
  <c r="P49" i="3"/>
  <c r="P48" i="3"/>
  <c r="P33" i="3"/>
  <c r="P34" i="3"/>
  <c r="L22" i="3"/>
  <c r="N22" i="3" s="1"/>
  <c r="P22" i="3" s="1"/>
  <c r="K98" i="1" l="1"/>
  <c r="P14" i="1" l="1"/>
  <c r="N14" i="1"/>
  <c r="I14" i="1"/>
  <c r="K14" i="1"/>
  <c r="O12" i="3" l="1"/>
  <c r="J55" i="3" l="1"/>
  <c r="T14" i="1" l="1"/>
  <c r="L11" i="3" l="1"/>
  <c r="N11" i="3" s="1"/>
  <c r="P11" i="3" s="1"/>
  <c r="P10" i="3" l="1"/>
  <c r="AB81" i="1" l="1"/>
  <c r="AH13" i="1" l="1"/>
  <c r="AB119" i="1" l="1"/>
  <c r="AB118" i="1"/>
  <c r="AB117" i="1"/>
  <c r="AB115" i="1"/>
  <c r="AB113" i="1"/>
  <c r="AB111" i="1"/>
  <c r="AB109" i="1"/>
  <c r="AB107" i="1"/>
  <c r="AB104" i="1"/>
  <c r="AB105" i="1"/>
  <c r="AB103" i="1"/>
  <c r="AB102" i="1"/>
  <c r="AB101" i="1"/>
  <c r="AB100" i="1"/>
  <c r="AB97" i="1"/>
  <c r="AB96" i="1"/>
  <c r="AB94" i="1"/>
  <c r="AB93" i="1"/>
  <c r="AB92" i="1"/>
  <c r="AB91" i="1"/>
  <c r="AB89" i="1"/>
  <c r="AB87" i="1"/>
  <c r="AB84" i="1"/>
  <c r="AB64" i="1"/>
  <c r="AB66" i="1"/>
  <c r="AB68" i="1"/>
  <c r="AB69" i="1"/>
  <c r="AB70" i="1"/>
  <c r="AB71" i="1"/>
  <c r="AB72" i="1"/>
  <c r="AB73" i="1"/>
  <c r="AB74" i="1"/>
  <c r="AB75" i="1"/>
  <c r="AB76" i="1"/>
  <c r="AB77" i="1"/>
  <c r="AB78" i="1"/>
  <c r="AB60" i="1"/>
  <c r="AB57" i="1"/>
  <c r="AB56" i="1"/>
  <c r="AB55" i="1"/>
  <c r="AB53" i="1"/>
  <c r="AB49" i="1"/>
  <c r="AB47" i="1"/>
  <c r="AB46" i="1"/>
  <c r="AB44" i="1"/>
  <c r="AB42" i="1"/>
  <c r="AB41" i="1"/>
  <c r="AB40" i="1"/>
  <c r="AB36" i="1"/>
  <c r="AB33" i="1"/>
  <c r="AB31" i="1"/>
  <c r="AB29" i="1"/>
  <c r="AB28" i="1"/>
  <c r="AB27" i="1"/>
  <c r="AB26" i="1"/>
  <c r="AB23" i="1"/>
  <c r="AB22" i="1"/>
  <c r="AB21" i="1"/>
  <c r="AB20" i="1"/>
  <c r="AB19" i="1"/>
  <c r="AB18" i="1"/>
  <c r="AB17" i="1"/>
  <c r="AC16" i="1"/>
  <c r="AC15" i="1"/>
  <c r="AC25" i="1" l="1"/>
  <c r="AC24" i="1" l="1"/>
  <c r="N66" i="3" l="1"/>
  <c r="P66" i="3" s="1"/>
  <c r="AJ119" i="1" l="1"/>
  <c r="AJ118" i="1"/>
  <c r="AJ117" i="1"/>
  <c r="AJ115" i="1"/>
  <c r="AJ113" i="1"/>
  <c r="AJ111" i="1"/>
  <c r="AJ109" i="1"/>
  <c r="AJ107" i="1"/>
  <c r="AJ105" i="1"/>
  <c r="AJ103" i="1"/>
  <c r="AJ102" i="1"/>
  <c r="AJ101" i="1"/>
  <c r="AJ100" i="1"/>
  <c r="AJ99" i="1"/>
  <c r="AJ97" i="1"/>
  <c r="AJ96" i="1"/>
  <c r="AJ94" i="1"/>
  <c r="AJ93" i="1"/>
  <c r="AJ92" i="1"/>
  <c r="AJ91" i="1"/>
  <c r="AJ89" i="1"/>
  <c r="AJ88" i="1" l="1"/>
  <c r="AJ87" i="1"/>
  <c r="AJ84" i="1"/>
  <c r="AJ81" i="1"/>
  <c r="AJ75" i="1" l="1"/>
  <c r="AJ71" i="1"/>
  <c r="AJ69" i="1"/>
  <c r="AJ70" i="1"/>
  <c r="AJ68" i="1"/>
  <c r="AJ66" i="1"/>
  <c r="AJ64" i="1"/>
  <c r="AJ60" i="1"/>
  <c r="AJ56" i="1"/>
  <c r="AJ55" i="1"/>
  <c r="AJ53" i="1"/>
  <c r="AJ49" i="1"/>
  <c r="AJ47" i="1"/>
  <c r="AJ46" i="1"/>
  <c r="AJ44" i="1"/>
  <c r="AJ42" i="1"/>
  <c r="AJ41" i="1"/>
  <c r="AJ40" i="1"/>
  <c r="AJ38" i="1"/>
  <c r="AJ36" i="1"/>
  <c r="Q61" i="1" l="1"/>
  <c r="R61" i="1"/>
  <c r="S61" i="1"/>
  <c r="O61" i="1"/>
  <c r="L61" i="1"/>
  <c r="M61" i="1"/>
  <c r="J61" i="1"/>
  <c r="I61" i="1"/>
  <c r="AB63" i="1" l="1"/>
  <c r="AJ98" i="1"/>
  <c r="AB98" i="1"/>
  <c r="K61" i="1"/>
  <c r="AJ63" i="1"/>
  <c r="F61" i="1"/>
  <c r="G61" i="1"/>
  <c r="H61" i="1"/>
  <c r="D61" i="1"/>
  <c r="E62" i="1"/>
  <c r="E61" i="1" l="1"/>
  <c r="K54" i="3"/>
  <c r="I54" i="3"/>
  <c r="O55" i="3"/>
  <c r="O54" i="3" s="1"/>
  <c r="M55" i="3"/>
  <c r="M10" i="3"/>
  <c r="M54" i="3" l="1"/>
  <c r="O10" i="3"/>
  <c r="O75" i="3" l="1"/>
  <c r="T80" i="1" l="1"/>
  <c r="T61" i="1" l="1"/>
  <c r="AB95" i="1" l="1"/>
  <c r="AC95" i="1"/>
  <c r="K79" i="1"/>
  <c r="L101" i="3" l="1"/>
  <c r="N101" i="3" s="1"/>
  <c r="P101" i="3" s="1"/>
  <c r="L116" i="3"/>
  <c r="N116" i="3" s="1"/>
  <c r="P116" i="3" s="1"/>
  <c r="L115" i="3"/>
  <c r="N115" i="3" s="1"/>
  <c r="P115" i="3" s="1"/>
  <c r="L113" i="3"/>
  <c r="N113" i="3" s="1"/>
  <c r="P113" i="3" s="1"/>
  <c r="L112" i="3"/>
  <c r="N112" i="3" s="1"/>
  <c r="P112" i="3" s="1"/>
  <c r="L111" i="3"/>
  <c r="N111" i="3" s="1"/>
  <c r="P111" i="3" s="1"/>
  <c r="L110" i="3"/>
  <c r="N110" i="3" s="1"/>
  <c r="P110" i="3" s="1"/>
  <c r="L108" i="3"/>
  <c r="N108" i="3" s="1"/>
  <c r="P108" i="3" s="1"/>
  <c r="L106" i="3"/>
  <c r="N106" i="3" s="1"/>
  <c r="P106" i="3" s="1"/>
  <c r="L104" i="3"/>
  <c r="N104" i="3" s="1"/>
  <c r="P104" i="3" s="1"/>
  <c r="L102" i="3"/>
  <c r="N102" i="3" s="1"/>
  <c r="P102" i="3" s="1"/>
  <c r="L100" i="3"/>
  <c r="N100" i="3" s="1"/>
  <c r="P100" i="3" s="1"/>
  <c r="L99" i="3"/>
  <c r="N99" i="3" s="1"/>
  <c r="P99" i="3" s="1"/>
  <c r="L97" i="3"/>
  <c r="N97" i="3" s="1"/>
  <c r="P97" i="3" s="1"/>
  <c r="L96" i="3"/>
  <c r="N96" i="3" s="1"/>
  <c r="P96" i="3" s="1"/>
  <c r="L94" i="3"/>
  <c r="N94" i="3" s="1"/>
  <c r="P94" i="3" s="1"/>
  <c r="L93" i="3"/>
  <c r="N93" i="3" s="1"/>
  <c r="P93" i="3" s="1"/>
  <c r="L92" i="3"/>
  <c r="N92" i="3" s="1"/>
  <c r="P92" i="3" s="1"/>
  <c r="L90" i="3"/>
  <c r="N90" i="3" s="1"/>
  <c r="P90" i="3" s="1"/>
  <c r="L89" i="3"/>
  <c r="N89" i="3" s="1"/>
  <c r="P89" i="3" s="1"/>
  <c r="L87" i="3"/>
  <c r="N87" i="3" s="1"/>
  <c r="P87" i="3" s="1"/>
  <c r="L85" i="3"/>
  <c r="N85" i="3" s="1"/>
  <c r="P85" i="3" s="1"/>
  <c r="L84" i="3"/>
  <c r="N84" i="3" s="1"/>
  <c r="P84" i="3" s="1"/>
  <c r="L83" i="3"/>
  <c r="N83" i="3" s="1"/>
  <c r="L81" i="3"/>
  <c r="N81" i="3" s="1"/>
  <c r="P81" i="3" s="1"/>
  <c r="L78" i="3"/>
  <c r="N78" i="3" s="1"/>
  <c r="L68" i="3"/>
  <c r="N68" i="3" s="1"/>
  <c r="P68" i="3" s="1"/>
  <c r="L65" i="3"/>
  <c r="P65" i="3" s="1"/>
  <c r="L63" i="3"/>
  <c r="N63" i="3" s="1"/>
  <c r="P63" i="3" s="1"/>
  <c r="L62" i="3"/>
  <c r="N62" i="3" s="1"/>
  <c r="P62" i="3" s="1"/>
  <c r="L61" i="3"/>
  <c r="N61" i="3" s="1"/>
  <c r="P61" i="3" s="1"/>
  <c r="L59" i="3"/>
  <c r="N59" i="3" s="1"/>
  <c r="P59" i="3" s="1"/>
  <c r="L57" i="3"/>
  <c r="N57" i="3" s="1"/>
  <c r="P57" i="3" s="1"/>
  <c r="L56" i="3"/>
  <c r="N56" i="3" s="1"/>
  <c r="P56" i="3" s="1"/>
  <c r="P55" i="3" s="1"/>
  <c r="P78" i="3" l="1"/>
  <c r="P77" i="3" s="1"/>
  <c r="N82" i="3"/>
  <c r="N79" i="3" s="1"/>
  <c r="P83" i="3"/>
  <c r="P82" i="3" s="1"/>
  <c r="P60" i="3"/>
  <c r="P58" i="3" s="1"/>
  <c r="P54" i="3" s="1"/>
  <c r="P79" i="3"/>
  <c r="N55" i="3"/>
  <c r="L77" i="3"/>
  <c r="N77" i="3"/>
  <c r="N75" i="3" s="1"/>
  <c r="N60" i="3"/>
  <c r="N58" i="3" s="1"/>
  <c r="L55" i="3"/>
  <c r="L82" i="3"/>
  <c r="L79" i="3" s="1"/>
  <c r="L75" i="3" s="1"/>
  <c r="L60" i="3"/>
  <c r="L58" i="3" s="1"/>
  <c r="L51" i="3"/>
  <c r="N51" i="3" s="1"/>
  <c r="P51" i="3" s="1"/>
  <c r="L47" i="3"/>
  <c r="L46" i="3"/>
  <c r="N46" i="3" s="1"/>
  <c r="P46" i="3" s="1"/>
  <c r="L45" i="3"/>
  <c r="N45" i="3" s="1"/>
  <c r="P45" i="3" s="1"/>
  <c r="L42" i="3"/>
  <c r="N42" i="3" s="1"/>
  <c r="P42" i="3" s="1"/>
  <c r="L41" i="3"/>
  <c r="N41" i="3" s="1"/>
  <c r="P41" i="3" s="1"/>
  <c r="L40" i="3"/>
  <c r="N40" i="3" s="1"/>
  <c r="P40" i="3" s="1"/>
  <c r="L39" i="3"/>
  <c r="N39" i="3" s="1"/>
  <c r="P39" i="3" s="1"/>
  <c r="L38" i="3"/>
  <c r="N38" i="3" s="1"/>
  <c r="P38" i="3" s="1"/>
  <c r="L36" i="3"/>
  <c r="N36" i="3" s="1"/>
  <c r="P36" i="3" s="1"/>
  <c r="L35" i="3"/>
  <c r="N35" i="3" s="1"/>
  <c r="P35" i="3" s="1"/>
  <c r="L32" i="3"/>
  <c r="N32" i="3" s="1"/>
  <c r="P32" i="3" s="1"/>
  <c r="L30" i="3"/>
  <c r="N30" i="3" s="1"/>
  <c r="P30" i="3" s="1"/>
  <c r="L29" i="3"/>
  <c r="N29" i="3" s="1"/>
  <c r="P29" i="3" s="1"/>
  <c r="L28" i="3"/>
  <c r="N28" i="3" s="1"/>
  <c r="P28" i="3" s="1"/>
  <c r="L27" i="3"/>
  <c r="N27" i="3" s="1"/>
  <c r="P27" i="3" s="1"/>
  <c r="L26" i="3"/>
  <c r="N26" i="3" s="1"/>
  <c r="P26" i="3" s="1"/>
  <c r="L24" i="3"/>
  <c r="N24" i="3" s="1"/>
  <c r="P24" i="3" s="1"/>
  <c r="L23" i="3"/>
  <c r="N23" i="3" s="1"/>
  <c r="P23" i="3" s="1"/>
  <c r="L21" i="3"/>
  <c r="N21" i="3" s="1"/>
  <c r="P21" i="3" s="1"/>
  <c r="L20" i="3"/>
  <c r="N20" i="3" s="1"/>
  <c r="P20" i="3" s="1"/>
  <c r="L19" i="3"/>
  <c r="N19" i="3" s="1"/>
  <c r="P19" i="3" s="1"/>
  <c r="L18" i="3"/>
  <c r="N18" i="3" s="1"/>
  <c r="P18" i="3" s="1"/>
  <c r="L17" i="3"/>
  <c r="N17" i="3" s="1"/>
  <c r="P17" i="3" s="1"/>
  <c r="L16" i="3"/>
  <c r="N16" i="3" s="1"/>
  <c r="P16" i="3" s="1"/>
  <c r="L15" i="3"/>
  <c r="L14" i="3"/>
  <c r="N14" i="3" s="1"/>
  <c r="P14" i="3" s="1"/>
  <c r="L13" i="3"/>
  <c r="N13" i="3" l="1"/>
  <c r="P13" i="3" s="1"/>
  <c r="N15" i="3"/>
  <c r="P15" i="3" s="1"/>
  <c r="N10" i="3"/>
  <c r="N54" i="3"/>
  <c r="L54" i="3"/>
  <c r="AC98" i="1"/>
  <c r="AC13" i="1" l="1"/>
  <c r="I79" i="1"/>
  <c r="I11" i="1" s="1"/>
  <c r="K75" i="3" l="1"/>
  <c r="J12" i="3" l="1"/>
  <c r="K12" i="3"/>
  <c r="L12" i="3"/>
  <c r="M12" i="3"/>
  <c r="N12" i="3"/>
  <c r="P12" i="3"/>
  <c r="I12" i="3"/>
  <c r="J75" i="3"/>
  <c r="M75" i="3"/>
  <c r="P75" i="3"/>
  <c r="AC57" i="1" l="1"/>
  <c r="D14" i="1"/>
  <c r="E14" i="1"/>
  <c r="F14" i="1"/>
  <c r="G14" i="1"/>
  <c r="H14" i="1"/>
  <c r="J14" i="1"/>
  <c r="L14" i="1"/>
  <c r="M14" i="1"/>
  <c r="O14" i="1"/>
  <c r="Q14" i="1"/>
  <c r="R14" i="1"/>
  <c r="S14" i="1"/>
  <c r="N11" i="1"/>
  <c r="D79" i="1"/>
  <c r="AD14" i="1" l="1"/>
  <c r="E79" i="1"/>
  <c r="AC118" i="1" l="1"/>
  <c r="AC102" i="1"/>
  <c r="AC97" i="1"/>
  <c r="AC94" i="1"/>
  <c r="AC59" i="1"/>
  <c r="AC58" i="1"/>
  <c r="AC40" i="1"/>
  <c r="AC31" i="1"/>
  <c r="AC23" i="1"/>
  <c r="AC20" i="1"/>
  <c r="AC19" i="1"/>
  <c r="AC17" i="1"/>
  <c r="AC18" i="1"/>
  <c r="AC21" i="1"/>
  <c r="AC22" i="1"/>
  <c r="AC26" i="1"/>
  <c r="AC27" i="1"/>
  <c r="AC28" i="1"/>
  <c r="AC29" i="1"/>
  <c r="AC30" i="1"/>
  <c r="AC32" i="1"/>
  <c r="AC33" i="1"/>
  <c r="AC36" i="1"/>
  <c r="AC37" i="1"/>
  <c r="AC38" i="1"/>
  <c r="AC39" i="1"/>
  <c r="AC41" i="1"/>
  <c r="AC42" i="1"/>
  <c r="AC43" i="1"/>
  <c r="AC44" i="1"/>
  <c r="AC46" i="1"/>
  <c r="AC47" i="1"/>
  <c r="AC48" i="1"/>
  <c r="AC49" i="1"/>
  <c r="AC53" i="1"/>
  <c r="AC55" i="1"/>
  <c r="AC56" i="1"/>
  <c r="AC60" i="1"/>
  <c r="AC63" i="1"/>
  <c r="AC64" i="1"/>
  <c r="AC66" i="1"/>
  <c r="AC68" i="1"/>
  <c r="AC69" i="1"/>
  <c r="AC70" i="1"/>
  <c r="AC71" i="1"/>
  <c r="AC72" i="1"/>
  <c r="AC73" i="1"/>
  <c r="AC74" i="1"/>
  <c r="AC75" i="1"/>
  <c r="AC76" i="1"/>
  <c r="AC77" i="1"/>
  <c r="AC78" i="1"/>
  <c r="AC80" i="1"/>
  <c r="AC81" i="1"/>
  <c r="AC84" i="1"/>
  <c r="AC87" i="1"/>
  <c r="AC88" i="1"/>
  <c r="AC89" i="1"/>
  <c r="AC91" i="1"/>
  <c r="AC92" i="1"/>
  <c r="AC93" i="1"/>
  <c r="AC96" i="1"/>
  <c r="AC99" i="1"/>
  <c r="AC100" i="1"/>
  <c r="AC101" i="1"/>
  <c r="AC103" i="1"/>
  <c r="AC104" i="1"/>
  <c r="AC105" i="1"/>
  <c r="AC107" i="1"/>
  <c r="AC109" i="1"/>
  <c r="AC111" i="1"/>
  <c r="AC113" i="1"/>
  <c r="AC114" i="1"/>
  <c r="AC115" i="1"/>
  <c r="AC116" i="1"/>
  <c r="AC117" i="1"/>
  <c r="AC119" i="1"/>
  <c r="J54" i="3" l="1"/>
  <c r="J10" i="3" l="1"/>
  <c r="L10" i="3"/>
  <c r="I10" i="3"/>
  <c r="AC62" i="1" l="1"/>
  <c r="S79" i="1"/>
  <c r="R79" i="1"/>
  <c r="Q79" i="1"/>
  <c r="O79" i="1"/>
  <c r="M79" i="1"/>
  <c r="L79" i="1"/>
  <c r="D11" i="1" l="1"/>
  <c r="AB9" i="1" l="1"/>
  <c r="AH93" i="1"/>
  <c r="AH92" i="1"/>
  <c r="AH105" i="1"/>
  <c r="AH107" i="1"/>
  <c r="AH68" i="1"/>
  <c r="AH103" i="1"/>
  <c r="AH76" i="1"/>
  <c r="AI111" i="1" l="1"/>
  <c r="AH111" i="1"/>
  <c r="AH61" i="1" l="1"/>
  <c r="T82" i="1" l="1"/>
  <c r="T79" i="1" s="1"/>
  <c r="T11" i="1" s="1"/>
  <c r="P86" i="1"/>
  <c r="P82" i="1" s="1"/>
  <c r="P79" i="1" s="1"/>
  <c r="P11" i="1" s="1"/>
  <c r="J79" i="1"/>
  <c r="H79" i="1"/>
  <c r="G79" i="1"/>
  <c r="F79" i="1"/>
  <c r="AB67" i="1" l="1"/>
  <c r="AC86" i="1"/>
  <c r="AC67" i="1"/>
  <c r="AI14" i="1"/>
  <c r="AH79" i="1"/>
  <c r="S11" i="1"/>
  <c r="E11" i="1"/>
  <c r="F11" i="1"/>
  <c r="J11" i="1"/>
  <c r="G11" i="1"/>
  <c r="O122" i="3"/>
  <c r="L122" i="3"/>
  <c r="I82" i="3"/>
  <c r="M122" i="3"/>
  <c r="J122" i="3"/>
  <c r="N122" i="3"/>
  <c r="K122" i="3"/>
  <c r="H11" i="1"/>
  <c r="L11" i="1"/>
  <c r="Q11" i="1"/>
  <c r="R11" i="1"/>
  <c r="O11" i="1"/>
  <c r="M11" i="1"/>
  <c r="T67" i="1"/>
  <c r="I79" i="3" l="1"/>
  <c r="AC82" i="1"/>
  <c r="AJ65" i="1"/>
  <c r="AB65" i="1"/>
  <c r="AC65" i="1"/>
  <c r="AH14" i="1"/>
  <c r="I75" i="3"/>
  <c r="AH11" i="1"/>
  <c r="AC79" i="1" l="1"/>
  <c r="AI61" i="1"/>
  <c r="AC61" i="1"/>
  <c r="AD61" i="1"/>
  <c r="AI79" i="1"/>
  <c r="K11" i="1"/>
  <c r="AD79" i="1"/>
  <c r="AI11" i="1" l="1"/>
  <c r="AC9" i="1"/>
  <c r="AD11" i="1"/>
  <c r="I122" i="3"/>
  <c r="P122" i="3"/>
  <c r="AD12" i="1" l="1"/>
</calcChain>
</file>

<file path=xl/sharedStrings.xml><?xml version="1.0" encoding="utf-8"?>
<sst xmlns="http://schemas.openxmlformats.org/spreadsheetml/2006/main" count="1296" uniqueCount="601">
  <si>
    <t xml:space="preserve">ОТЧЕТ </t>
  </si>
  <si>
    <t>об исполнении финансирования государственной программы Краснодарского края</t>
  </si>
  <si>
    <t>"Социальная поддержка граждан"</t>
  </si>
  <si>
    <t xml:space="preserve">наименование государственной программы </t>
  </si>
  <si>
    <t>Номер  мероп-риятия</t>
  </si>
  <si>
    <t>Наименование основного мероприятия, подпрограммы, мероприятия подпрограммы, ведомственной целевой программы</t>
  </si>
  <si>
    <t>Государственный заказчик, получатель субсидий (субвенций), ответственный за выполнение мероприятий, исполнитель</t>
  </si>
  <si>
    <t>Объем финансирования в тыс. рублей, предусмотренный на отчетную дату:</t>
  </si>
  <si>
    <t>Профинансировано (кассовое исполнение) в отчетном периоде, тыс. рублей</t>
  </si>
  <si>
    <t>Непосредственный результат реализации мероприятия</t>
  </si>
  <si>
    <t xml:space="preserve">Причины невыполнения (несвоевременного выполнения) мероприятия </t>
  </si>
  <si>
    <t>уточненной сводной бюджетной росписью</t>
  </si>
  <si>
    <t>федеральный бюджет</t>
  </si>
  <si>
    <t>краевой бюджет</t>
  </si>
  <si>
    <r>
      <t>краевой бюджет</t>
    </r>
    <r>
      <rPr>
        <i/>
        <vertAlign val="superscript"/>
        <sz val="28"/>
        <rFont val="Times New Roman"/>
        <family val="1"/>
        <charset val="204"/>
      </rPr>
      <t>6)</t>
    </r>
  </si>
  <si>
    <t>местный бюджет</t>
  </si>
  <si>
    <t>внебюджетные  источники</t>
  </si>
  <si>
    <t>наименование</t>
  </si>
  <si>
    <t>единица измерения</t>
  </si>
  <si>
    <t>плановое значение</t>
  </si>
  <si>
    <t>фактическое значение</t>
  </si>
  <si>
    <t>всего</t>
  </si>
  <si>
    <t>ВСЕГО 
по государственной программе, в том числе:</t>
  </si>
  <si>
    <t>Х</t>
  </si>
  <si>
    <t>Всего
по основным мероприятиям государственной программы, в том числе:</t>
  </si>
  <si>
    <t>1.1.1.1</t>
  </si>
  <si>
    <t>Финансовое обеспечение деятельности министерства труда и социального развития  Краснодарского края и управлений социальной защиты населения министерства  труда и социального развития Краснодарского края в муниципальных образованиях Краснодарского края</t>
  </si>
  <si>
    <t>министерство труда и социального развития Краснодарского края</t>
  </si>
  <si>
    <t>1.</t>
  </si>
  <si>
    <t>Всего по подпрограмме , "Развитие мер социальной поддержки отдельных категорий граждан" в том числе:</t>
  </si>
  <si>
    <t xml:space="preserve">Пенсии за выслугу лет лицам, замещавшим должности государственной гражданской службы Краснодарского края </t>
  </si>
  <si>
    <t>человек</t>
  </si>
  <si>
    <t>выполнено</t>
  </si>
  <si>
    <t>1.1.1.2</t>
  </si>
  <si>
    <t>1.1.1.3</t>
  </si>
  <si>
    <t>Дополнительное материальное обеспечение лиц, замещавших государственные должности Краснодарского края</t>
  </si>
  <si>
    <t>1.1.2.2</t>
  </si>
  <si>
    <t>1.1.2.3</t>
  </si>
  <si>
    <t>Предоставление отдельных мер социальной поддержки граждан, подвергшихся воздействию радиации (за исключением мер социальной поддержки, предусмотренных пунктами 1.1.2.2 и 1.1.3.3 настоящего раздела)</t>
  </si>
  <si>
    <t>1.1.2.4</t>
  </si>
  <si>
    <t>Предоставление гражданам государственных единовременных пособий и ежемесячных денежных компенсаций  при возникновении поствакцинальных осложнений</t>
  </si>
  <si>
    <t>1.1.2.5</t>
  </si>
  <si>
    <t>1.3</t>
  </si>
  <si>
    <t>1.1.3.2</t>
  </si>
  <si>
    <t>семей</t>
  </si>
  <si>
    <t>1.1.3.3</t>
  </si>
  <si>
    <t>1.1.3.4</t>
  </si>
  <si>
    <t>1.1.3.5</t>
  </si>
  <si>
    <t>1.1.4.1</t>
  </si>
  <si>
    <t>1.1.4.2</t>
  </si>
  <si>
    <t>1.1.4.3</t>
  </si>
  <si>
    <t>Социальная поддержка инвалидов боевых действий и членов семьи военнослужащих, погибщих при исполнении воинского долга</t>
  </si>
  <si>
    <t>1.5</t>
  </si>
  <si>
    <t>1.1.5.2</t>
  </si>
  <si>
    <t>1.1.5.4</t>
  </si>
  <si>
    <t>1.1.5.5</t>
  </si>
  <si>
    <t>1.1.6.1</t>
  </si>
  <si>
    <t>Предоставление  лицу, взявшему на себя  обязательства осуществить погребение, социального пособия на погребение в Краснодарском крае, единовременной материальной помощи гражданам, понесшим расходы, связанные с погребением малоимущих</t>
  </si>
  <si>
    <t>1.1.6.2</t>
  </si>
  <si>
    <t>Возмещение лицу, взявшему на себя обязательства осуществлять погребение, затрат,связанных с погребением умерших реабилитированных лиц</t>
  </si>
  <si>
    <t>1.1.7.2</t>
  </si>
  <si>
    <t>Предоставление единовременной денежной выплаты лицам, награжденным орденом                                                                  "За выдающийся вклад в развитие кубанского казачества"</t>
  </si>
  <si>
    <t>1.1.7.3</t>
  </si>
  <si>
    <t>1.1.7.5</t>
  </si>
  <si>
    <t>1.1.7.6</t>
  </si>
  <si>
    <t>1.1.7.7</t>
  </si>
  <si>
    <t>1.1.8.2</t>
  </si>
  <si>
    <t>1.1.8.3</t>
  </si>
  <si>
    <t>1.1.8.5</t>
  </si>
  <si>
    <t>тыс. чел.</t>
  </si>
  <si>
    <t>1.1.8.6</t>
  </si>
  <si>
    <t>тыс.штук</t>
  </si>
  <si>
    <t>Предоставление дополнительных мер социальной поддержки в виде единовременной выплаты малоимущим семьям и малоимущим одиноко проживающим гражданам Краснодарского края на возмещение расходов по приобретению оборудования в связи с переходом на цифровое телерадиовещание</t>
  </si>
  <si>
    <t>1.1.10.3</t>
  </si>
  <si>
    <t>1.1.10.4</t>
  </si>
  <si>
    <t xml:space="preserve">человек </t>
  </si>
  <si>
    <t>2.</t>
  </si>
  <si>
    <t>Всего по подпрограмме  "Модернизация и развитие социального обслуживания населения" в  том числе:</t>
  </si>
  <si>
    <t>1.1.1</t>
  </si>
  <si>
    <t>Организация профессионального образования и дополнительного профессионального образования работников государственных учреждений Краснодарского края, в том числе:</t>
  </si>
  <si>
    <t>казенных учреждений</t>
  </si>
  <si>
    <t>1.1.1.2.1</t>
  </si>
  <si>
    <t>предоставление субсидий государственным бюджетным и автономным учреждениям</t>
  </si>
  <si>
    <t>1.1.2.1</t>
  </si>
  <si>
    <t xml:space="preserve">Финансовое обеспечение деятельности государственных учреждений, функции и полномочия учредителя в отношении которых осуществляет министерство труда и социального развития Краснодарского края, в том числе: </t>
  </si>
  <si>
    <t>1.1.2.1.1</t>
  </si>
  <si>
    <t>казенные учреждения</t>
  </si>
  <si>
    <t>учреждений</t>
  </si>
  <si>
    <t>1.1.2.1.2</t>
  </si>
  <si>
    <t>предоставление субсидий государственным бюджетным и автономным учреждениям, в том числе:</t>
  </si>
  <si>
    <t>1.1.2.1.2.1</t>
  </si>
  <si>
    <t>на финансовое обеспечение выполнения ими государственного задания</t>
  </si>
  <si>
    <t>1.1.2.1.2.2</t>
  </si>
  <si>
    <t>на осуществление капитального ремонта</t>
  </si>
  <si>
    <t>1.1.2.1.2.3</t>
  </si>
  <si>
    <t>Предоставление субсидий на оснащение государственных бюджетных и автономных учреждений Краснодарского края оборудованием, облегчающим уход за гражданами пожилого возраста и инвалидами, повышающими качество социальных услуг, в том числе:мебелью,                                         оборудованием для психологической поддержки, медицинским, компьютерным, технологическим,  бытовым, пищевым, прачечным, реабилитационным оборудованием (приобретение, монтаж, пусконаладочные работы)</t>
  </si>
  <si>
    <t>Предоставление субсидий на организацию работы мобильных бригад в государственных бюджетных и автономных учреждениях Краснодарского края, предоставляющих социальные  услуги на мобильной основе, для оказания неотложных социальных услуг пожилым людям и (или) инвалидам, в том числе на приобретение транспортных средств и оборудования</t>
  </si>
  <si>
    <t xml:space="preserve"> транспортные средства </t>
  </si>
  <si>
    <t>1.1.3.6</t>
  </si>
  <si>
    <t>компьютерных мест</t>
  </si>
  <si>
    <t>1.1.3.7</t>
  </si>
  <si>
    <t>Предоставление субсидий государственным бюджетным и автономным учреждениям на организацию социального туризма для граждан пожилого возраста и (или) инвалидов: проведение экскурсий, посещение памятных мест, учреждений культуры, исторических памятников</t>
  </si>
  <si>
    <t>1.1.3.8</t>
  </si>
  <si>
    <t>Предоставление субсидий государственным и автономным учреждениям на организацию приемной семьи для граждан пожилого возраста и инвалидов</t>
  </si>
  <si>
    <t>1.1.3.9</t>
  </si>
  <si>
    <t xml:space="preserve">технические средства </t>
  </si>
  <si>
    <t>1.1.3.13</t>
  </si>
  <si>
    <t>транспортных средства</t>
  </si>
  <si>
    <t>3</t>
  </si>
  <si>
    <t xml:space="preserve"> Всего по подпрограмме "Совершенствование социальной поддержки семьи и детей" в том числе:</t>
  </si>
  <si>
    <t>Финансовое обеспечение деятельности государственных учреждений социального обслуживания Краснодарского края, функции и полномочия учредителя в отношении которых осуществляет министерство труда и социального развития Краснодарского края, в том числе</t>
  </si>
  <si>
    <t>1.1.1.3.1</t>
  </si>
  <si>
    <t>1.1.1.3.2</t>
  </si>
  <si>
    <t>предоставление субсидий государственным  бюджетным и автономным учреждениям, в том числе:</t>
  </si>
  <si>
    <t>1.1.1.3.2.1</t>
  </si>
  <si>
    <t>1.1.1.3.2.2</t>
  </si>
  <si>
    <t>1.1.1.3.2.3</t>
  </si>
  <si>
    <t>1.1.2.6</t>
  </si>
  <si>
    <t>1.1.2.9</t>
  </si>
  <si>
    <t>1.1.2.10</t>
  </si>
  <si>
    <t>Выплата единовременного денежного поощрения награжденным медалью Краснодарского края "Родительская доблесть"</t>
  </si>
  <si>
    <t>Выплата единовременного денежного пособия при усыновлении (удочерении) на территории Краснодарского края ребенка-сироты или ребенка, оставшегося без попечения родителей</t>
  </si>
  <si>
    <t>Ежегодная денежная выплата многодетным семьям</t>
  </si>
  <si>
    <t>Выплата единовременного пособия при всех формах устройства детей, лишенных родительского попечения, в семью</t>
  </si>
  <si>
    <t>Предоставление меры социальной поддержки в виде  материнского (семейного) капитала в рамках регионального проекта "Финансовая поддержка семей при рождении детей"</t>
  </si>
  <si>
    <t>штук</t>
  </si>
  <si>
    <t>1.1.4.4</t>
  </si>
  <si>
    <t>1.1.4.5</t>
  </si>
  <si>
    <t>1.1.4.6</t>
  </si>
  <si>
    <t>1.1.4.7</t>
  </si>
  <si>
    <t>1.1.4.8</t>
  </si>
  <si>
    <t>1.1.5.1</t>
  </si>
  <si>
    <t>Выплата компенсаций в виде субсидий за предоставление социальных услуг (оказываемых детям с ограниченными возможностями здоровья, а также детям, находящимся в социально опасном положении, в трудной жизненной ситуации) поставщикам социальных услуг, включенным в реестр поставщиков социальных услуг и не участвующим в выполнении государственного задания (заказа) (за исключением выплаты компенсаций в виде субсидий, предусмотренных подпунктом 1.1.6.1 настоящего пункта)  услуг, включенным в реестр поставщиков социальных услуг и не участвующим в выполнении государственного задания (заказа) (за исключением выплаты компенсаций в виде субсидий, предусмотренных подпунктом 1.1.6.1 настоящего пункта)</t>
  </si>
  <si>
    <t>ОТЧЕТ</t>
  </si>
  <si>
    <t>о достижении целевых показателей государственной программы Краснодарского края</t>
  </si>
  <si>
    <t>Номер целевого показателя</t>
  </si>
  <si>
    <t>Наименование целевого показателя</t>
  </si>
  <si>
    <t>Единица измерения</t>
  </si>
  <si>
    <t>Причины недостижения фактического значения показателя в отчетном периоде</t>
  </si>
  <si>
    <t>текущий отчетный период</t>
  </si>
  <si>
    <t>факт</t>
  </si>
  <si>
    <t>план</t>
  </si>
  <si>
    <t>Государственная программа Краснодарского края  «Социальная поддержка граждан»</t>
  </si>
  <si>
    <t>1.1</t>
  </si>
  <si>
    <t>Число граждан, получивших документы на право пользования мерами социальной поддержки</t>
  </si>
  <si>
    <t>1.2</t>
  </si>
  <si>
    <t>Соотношение средней заработной платы социальных работников государственных учреждений со средней заработной платой в Краснодарском крае</t>
  </si>
  <si>
    <t>%</t>
  </si>
  <si>
    <t>Удельный вес детей-сирот и детей, оставшихся без попечения родителей, переданных на воспитание в семью (от общей численности вновь выявленных детей за отчетный период)</t>
  </si>
  <si>
    <t>1.4</t>
  </si>
  <si>
    <t>Доля государственных учреждений, предоставляющих информацию об энергосбережении и повышении энергетической эффективности (энергетические декларации) в электронном виде</t>
  </si>
  <si>
    <t>Доля государственных учреждений, оснащенных приборами учета тепловой энергии</t>
  </si>
  <si>
    <t>1.6</t>
  </si>
  <si>
    <t>Удельный вес учреждений социального обслуживания, основанный на иных формах собственности (кроме государственных учреждений), в общем количестве учреждений социального обслуживания всех форм собственности</t>
  </si>
  <si>
    <t>1.7</t>
  </si>
  <si>
    <t>Доля государственных бюджетных (автономных, казенных) учреждений социального обслуживания, подведомственных министерству труда и социального развития Краснодарского края, в отношении которых проведена независимая оценка качества оказания услуг, от общего их количества</t>
  </si>
  <si>
    <t>1.8</t>
  </si>
  <si>
    <t xml:space="preserve">Удельный расход электрической энергии на снабжение государственных учреждений
</t>
  </si>
  <si>
    <t xml:space="preserve">кВт-ч/кв. м
</t>
  </si>
  <si>
    <t>1.9</t>
  </si>
  <si>
    <t xml:space="preserve">Удельный расход тепловой энергии на снабжение государственных учреждений
</t>
  </si>
  <si>
    <t xml:space="preserve">Гкал/кв. м
</t>
  </si>
  <si>
    <t xml:space="preserve">  1.10
</t>
  </si>
  <si>
    <t xml:space="preserve">Удельный расход холодной воды на снабжение государственных учреждений
</t>
  </si>
  <si>
    <t xml:space="preserve">куб. м/кв. м
</t>
  </si>
  <si>
    <t xml:space="preserve"> 1.11
</t>
  </si>
  <si>
    <t xml:space="preserve">Доля светодиодных источников света в освещении зданий от общего количества источников света в зданиях
</t>
  </si>
  <si>
    <t xml:space="preserve">%
</t>
  </si>
  <si>
    <t>1.12</t>
  </si>
  <si>
    <t xml:space="preserve">Доля зданий, строений, сооружений, оснащенных индивидуальными тепловыми пунктами с автоматическим регулированием температуры теплоносителя, находящихся на праве оперативного управления или ином законном основании, от общего количества указанных зданий, строений, сооружений
</t>
  </si>
  <si>
    <t>1.13</t>
  </si>
  <si>
    <t xml:space="preserve">Удовлетворенность получателей социальных услуг в оказанных социальных услугах, процентов
</t>
  </si>
  <si>
    <t>1.14</t>
  </si>
  <si>
    <t xml:space="preserve">Доля населения с денежными доходами ниже величины прожиточного минимума в Краснодарском крае в общей численности населения Краснодарского края, процентов
</t>
  </si>
  <si>
    <t>2.1</t>
  </si>
  <si>
    <t>Подпрограмма   «Развитие мер социальной поддержки отдельных категорий граждан»</t>
  </si>
  <si>
    <t>2.1.3</t>
  </si>
  <si>
    <t xml:space="preserve">Доля граждан, получивших меры социальной поддержки, в общей численности граждан, имеющих право на их получение и обратившихся за их получением
</t>
  </si>
  <si>
    <t>2.2</t>
  </si>
  <si>
    <t>Подпрограмма  «Модернизация и развитие социального обслуживания населения»</t>
  </si>
  <si>
    <t>2.2.1</t>
  </si>
  <si>
    <t>Доля пожилых граждан и инвалидов, получивших социальные услуги в учреждениях социального обслуживания населения, в общем числе граждан, обратившихся за получением социальных услуг в учреждениях социального обслуживания</t>
  </si>
  <si>
    <t>2.2.2</t>
  </si>
  <si>
    <t>Количество граждан пожилого возраста и инвалидов, пользующихся услугами сиделок</t>
  </si>
  <si>
    <t>2.2.3</t>
  </si>
  <si>
    <t>Количество выданных технических средств реабилитации (ТСР)</t>
  </si>
  <si>
    <t>единиц</t>
  </si>
  <si>
    <t>2.2.4</t>
  </si>
  <si>
    <t>Количество граждан, прошедших обучение в школе по уходу</t>
  </si>
  <si>
    <t>2.3</t>
  </si>
  <si>
    <t>Подпрограмма «Совершенствование социальной поддержки семьи и детей»</t>
  </si>
  <si>
    <t>2.3.1</t>
  </si>
  <si>
    <t>Удельный вес несовершеннолетних, возвращенных в физиологическую семью и переданных на воспитание в замещающие семьи (от общего числа несовершеннолетних, выведенных из учреждения после прохождения курса социальной реабилитации в государственных казенных учреждениях социального обслуживания Краснодарского края - социально-реабилитационных центрах для несовершеннолетних, нуждающихся в социальной реабилитации)</t>
  </si>
  <si>
    <t>Суммарный коэффициент рождаемости
(число детей на одну женщину)</t>
  </si>
  <si>
    <t>Коэффициент рождаемости в Краснодарском крае возрастной группе 25-29 лет (число родившихся на 1000 женщин соответствующего возраста)</t>
  </si>
  <si>
    <t>Коэффициент рождаемости в Краснодарском крае возрастной группе 30-34 лет (число родившихся на 1000 женщин соответствующего возраста)</t>
  </si>
  <si>
    <t xml:space="preserve">                                          </t>
  </si>
  <si>
    <t xml:space="preserve">  о выполнении плана реализации</t>
  </si>
  <si>
    <t xml:space="preserve">                                            </t>
  </si>
  <si>
    <t xml:space="preserve">              государственной программы Краснодарского края "Социальная поддержка граждан"</t>
  </si>
  <si>
    <t xml:space="preserve">                                                     </t>
  </si>
  <si>
    <t xml:space="preserve">Номер основного мероприятия, контрольного события, мероприятия </t>
  </si>
  <si>
    <t>Наименование подпрограммы, отдельного мероприятия, ведомственной целевой программы, контрольного события</t>
  </si>
  <si>
    <t xml:space="preserve">Статус </t>
  </si>
  <si>
    <t>Ответственный за реализацию мероприятия, выполнение контрольного события</t>
  </si>
  <si>
    <t>Плановый срок начала реализации мероприятия</t>
  </si>
  <si>
    <t xml:space="preserve">Плановый срок окончания реализации мероприятия, наступления контрольного события </t>
  </si>
  <si>
    <t xml:space="preserve">Фактический срок начала реализации мероприятия </t>
  </si>
  <si>
    <t xml:space="preserve">Фактический срок окончания реализации мероприятия              наступления контрольного события </t>
  </si>
  <si>
    <t>Поквартальное распределение прогноза кассовых выплат из краевого бюджета, тыс.рублей</t>
  </si>
  <si>
    <t>I</t>
  </si>
  <si>
    <t>II</t>
  </si>
  <si>
    <t>III</t>
  </si>
  <si>
    <t>IV</t>
  </si>
  <si>
    <t xml:space="preserve">Основное мерориятие </t>
  </si>
  <si>
    <t>Подпрограмма № 1 "Развитие мер социальной поддержки отдельных категорий граждан"</t>
  </si>
  <si>
    <t>Пособия отдельным категориям работников Краснодарского края в соответствии с Законом Краснодарского края от 21 июля 2005 г.                                                                  № 921-КЗ                                           "О государственной поддержке отдельных категорий работников Краснодарского края"</t>
  </si>
  <si>
    <t>Дополнительное; материальное обеспечение лиц, замещавших государственные должности Краснодарского края</t>
  </si>
  <si>
    <t>Предоставление отдельных мер социальной поддержки граждан, подвергшихся воздействию радиации (за исключением мер социальной поддержки, предусмотренных подпунктами 1.1.2.2 и 1.1.3.3 настоящего раздела)</t>
  </si>
  <si>
    <t>Предоставление гражданам государственных единовременных пособий и ежемесячных денежных компенсаций при возникновении поствакцинальных осложнений</t>
  </si>
  <si>
    <t>Ежемесячные денежные выплаты ветеранам труда и ветеранам военной службы, достигшим возраста 60 и 55 лет (соответственно мужчины и женщины), либо после назначения им пенсии в территориальных органах Пенсионного фонда Российской Федерации, жертвам политических репрессий, достигшим возраста 60 и 55 лет (соответственно мужчины и женщины), либо являющимся пенсионерами, труженикам тыла, – жителям  Краснодарского края</t>
  </si>
  <si>
    <t>Предоставление субсидий на оплату жилого помещения и коммунальных услуг гражданам, расходы которых на оплату жилого помещения и коммунальных услуг превышают региональный стандарт максимально допустимой доли таких расходов, установленный в размере 22 процентов от совокупного дохода семьи</t>
  </si>
  <si>
    <t>Предоставление мер социальной поддержки отдельным категориям граждан, проживающим на территории Краснодарского края, по оплате взносов на капитальный ремонт общего имущества собственников помещений в многоквартирном доме в соответствии с Законом Краснодарского края                                                                                 от 28 декабря 2015 г.                             № 3316-КЗ "О мерах, социальной поддержки отдельных категорий граждан, проживающих на территории Краснодарского края, по оплате взносов на капитальный ремонт общего имущества собственников помещений в многоквартирном доме"</t>
  </si>
  <si>
    <t xml:space="preserve">Выплата ежемесячного пособия вдовам военнослужащих, лиц рядового и начальствующего состава органов внутренних дел и сотрудников органов Федеральной службы безопасности, погибших при исполнении обязанностей военной службы (служебных обязанностей) в соответствии с Законом Краснодарского края                                                                                                           от 5 ноября 2002 г.                                    № 537-КЗ                                             "О ежемесячном пособии вдовам военнослужащих, лиц рядового и начальствующего состава органов внутренних дел и сотрудников органов Федеральной службы безопасности, погибших при исполнении обязанностей военной службы (служебных обязанностей)"  </t>
  </si>
  <si>
    <t>Социальная поддержка инвалидов боевых действий и членов семей военнослужащих, погибших при исполнении воинского долга</t>
  </si>
  <si>
    <t>Возмещение лицу, взявшему на себя обязательства осуществлять погребение, затрат, связанных с погребением умерших реабилитированных лиц</t>
  </si>
  <si>
    <t>Предоставление единовременной денежной выплаты лицам, награжденным орденом "За выдающийся вклад в развитие кубанского казачества"</t>
  </si>
  <si>
    <t>Предоставление пособий на оплату проезда лицам, нуждающимся в проведении гемодиализа в соответствии с Законом Краснодарского края                                                                                                                          от 6 февраля 2008 г.                                                                                        № 1388-КЗ "О выплате пособий на оплату проезда лицам, нуждающимся в проведении гемодиализа"</t>
  </si>
  <si>
    <t xml:space="preserve">Контрольное событие 1.2
Оказание мер социальной поддержки отдельным категориям граждан
</t>
  </si>
  <si>
    <t>Подпрограмма № 2 "Модернизация и развитие социального обслуживания населения"</t>
  </si>
  <si>
    <t>Финансовое обеспечение деятельности государственных учреждений, функции и полномочия учредителя в отношении которых осуществляет министерство труда и социального развития Краснодарского края, в том числе:</t>
  </si>
  <si>
    <t>Предоставление субсидий на оснащение государственных бюджетных и автономных учреждений Краснодарского края оборудованием, облегчающим уход за гражданами пожилого возраста и инвалидами, повышающими качество социальных услуг, в том числе: мебелью, оборудованием для психологической поддержки, медицинским, компьютерным, технологическим, бытовым, пищевым, прачечным, реабилитационным оборудованием (приобретение, монтаж, пусконаладочные работы)</t>
  </si>
  <si>
    <t>Предоставление субсидий на организацию работы мобильных бригад в государственных бюджетных и автономных учреждениях Краснодарского края, предоставляющих социальные услуги на мобильной основе, для оказания неотложных социальных услуг пожилым людям и (или) инвалидам, в том числе на приобретение транспортных средств и оборудования</t>
  </si>
  <si>
    <t>Предоставление субсидий государственным бюджетным и автономным учреждениям на организацию для граждан пожилого возраста и (или) инвалидов обучения в компьютерных классах и клубах на базе государственных бюджетных и автономных учреждений Краснодарского края</t>
  </si>
  <si>
    <t>Предоставление субсидий государственным бюджетным и автономным учреждениям на организацию социального туризма для граждан пожилого возраста: и (или) инвалидов: проведение экскурсий, посещение памятных мест, учреждений культуры, исторических памятников</t>
  </si>
  <si>
    <t>Предоставление субсидий государственным бюджетным и автономным учреждениям на организацию приемной семьи для граждан пожилого возраста и инвалидов</t>
  </si>
  <si>
    <t>Предоставление субсидий государственным бюджетным и автономным учреждениям для обеспечения граждан современными средствами и предметами ухода за пожилыми людьми на условиях временного пользования через государственные бюджетные и автономные учреждения социального обслуживания Краснодарского края, подведомственные министерству труда и  социального развития Краснодарского края</t>
  </si>
  <si>
    <t xml:space="preserve">Контрольное событие 2.1
Рост соотношения средней заработной платы социальных работников государственных учреждений, функции и полномочия учредителя в отношении которых осуществляет и социального развития Краснодарского края со средней заработной платой в Краснодарском края
</t>
  </si>
  <si>
    <t>3.</t>
  </si>
  <si>
    <t>Подпрограмма № 3 "Совершенствование социальной поддержки семьи и детей"</t>
  </si>
  <si>
    <t>Финансовое обеспечение деятельности государственных учреждений социального обслуживания и государственных учреждений, осуществляющих деятельность в сфере семейной политики и отдыха и оздоровления детей</t>
  </si>
  <si>
    <t>Финансовое обеспечение деятельности государственных учреждений социального обслуживания Краснодарского края, функции и полномочия учредителя в отношении которых осуществляет министерство труда и социального развития Краснодарского края, в том числе:</t>
  </si>
  <si>
    <t>Финансовое обеспечение деятельности государственных учреждений для детей-сирот и детей, оставшихся без попечения родителей, и государственных учреждений, осуществляющих деятельность в сфере отдыха и оздоровления детей, функции и полномочия учредителя в отношении которых осуществляет министерство труда и социального развития Краснодарского края (за исключением финансового обеспечения деятельности государственных учреждений, предусмотренных подпунктом 1.1.1.1 настоящего пункта), в том числе:</t>
  </si>
  <si>
    <t>Ежегоная денежная выплата многодетным семьям</t>
  </si>
  <si>
    <t>Предоставление меры социальной поддержки в виде  материнского (семейного) капитала в рамках регионального проекта Краснодарского края"Финансовая поддержка семей при рождении детей"</t>
  </si>
  <si>
    <t>Изготовление бланков удостоверений многодетной семье</t>
  </si>
  <si>
    <t>Предоставление субвенций местным бюджетам муниципальных образований Краснодарского края в соответствии с Законом Краснодарского края                                                от 15 декабря 2004 г.                                   №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 на 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</si>
  <si>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Предоставление субвенций местным: бюджетам муниципальных образований Краснодарского края в соответствии с Законом Краснодарского края                                          от 29 декабря 2007 г.                                                        № 1372-КЗ                                                  "О наделении органов местного самоуправления в Краснодарском крае государственными полномочиями Краснодарского края по организации и осуществлению деятельности по опеке и попечительству в отношении несовершеннолетних" для финансового обеспечения осуществления отдельных государственных полномочий
по организации и осуществлению деятельности по опеке и попечительству в отношении несовершеннолетних, за исключением полномочий по  формированию и ведению регионального банка данных о детях, оставшихся без попечения родителей, полномочий по психолого-педагогической и правовой подготовке граждан, выразивших желание принять на воспитание в свою семью ребенка, оставшегося без попечения родителей</t>
  </si>
  <si>
    <t xml:space="preserve">Предоставление субвенций местным бюджетам муниципальных образований Краснодарского края на осуществление отдельных государственных полномочий по созданию и организации деятельности комиссий по делам несовершеннолетних и защите их прав в соответствии с Законом Краснодарского края                               от 13 ноября 2006 г.                                                                                                                                                      № 1132-КЗ                                                                                                                                                                                                                                                                   "О комиссиях по делам несовершеннолетних и защите их прав в Краснодарском крае" </t>
  </si>
  <si>
    <t>Выплата компенсаций в виде субсидий за предоставление социальных услуг (оказываемых детям с ограниченными возможностями здоровья, а также детям, находящимся в социально опасном положении, в трудной жизненной ситуации) поставщикам социальных услуг, включенным в реестр поставщиков социальных услуг и не участвующим в выполнении государственного задания (заказа) (за исключением выплаты компенсаций в виде субсидий, предусмотренных подпунктом 1.1.6.1 настоящего пункта)</t>
  </si>
  <si>
    <t xml:space="preserve">Контрольное 
событие 3.1
Реализация мер социальной поддержки детей-сирот и детей, оставшихся без попечения родителей
</t>
  </si>
  <si>
    <t xml:space="preserve">Контрольное 
событие 3.2
Оказание мер социальной поддержки гражданам, имеющим детей 
</t>
  </si>
  <si>
    <t>Итого по государственной программе:</t>
  </si>
  <si>
    <t xml:space="preserve">Предоставление юридическим лицам, индивидуальным предпринимателям (за исключением государственных (муниципальных) учреждений) в целях возмещения недополученных доходовв связи с оказанием услуг (выполнением работ) гражданам, проживающим на территории Краснодарского края, имеющим право на льготы, указанные в частях 1 - 3 статьи 4, части 2 статьи 6 Закона Краснодарского  края от 5 мая 2006 г. № 1026-КЗ "О статусе Героев Кубани и Героев труда Кубани" </t>
  </si>
  <si>
    <t xml:space="preserve">Осуществление ежемесячной выплаты в связи с рождением (усыновлением) первого ребенка в соответствии с Федеральным законом от 28 декабря 2017 г.                                                     № 418-ФЗ "О ежемесячных выплатах семьям, имеющим детей» в рамках регионального проекта Краснодарского края "Финансовая поддержка семей при рождении детей"                                                                                                   </t>
  </si>
  <si>
    <t>Предоставление ежегодной денежной выплаты лицам, награжденных нагрудным знаком "Почетный донор России", "Почетный донор СССР" в соответствии с Федеральным законом от 20 июля 2012 г.                                                                      № 125-ФЗ "О донорстве крови и ее компонентов"</t>
  </si>
  <si>
    <t xml:space="preserve">Предоставление субсидий государственным бюджетным и автономным учреждениям для обеспечения граждан современными средствами и предметами ухода за пожилыми людьми на условиях временного пользования через государственные
бюджетные и автономные учреждения социального обслуживания Краснодарского края, подведомственные министерству труда и социального развития Краснодарского края </t>
  </si>
  <si>
    <t>Предоставление субвенций местным бюджетам муниципальных, образований Краснодарского края в соответствии с Законом Краснодарского края                                                                    от 15 декабря 2004 г.                                                               №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 на 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</si>
  <si>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 xml:space="preserve">Предоставление ежемесячной денежной выплаты гражданам, удостоенным званий Героев Кубани и Героев труда Кубани и единовременных денежных выплат в соответствии с частями 1 и 3 статьи 6 и статьей 7 Закона Краснодарского края                                                                             от 5 мая 2006 г. № 1026-КЗ "О статусе Героев Кубани и Героев труда Кубани" </t>
  </si>
  <si>
    <t>Суммарный коэффициент рождаемости вторых детей</t>
  </si>
  <si>
    <t>Суммарный коэффициент рождаемости третьих и последующих детей</t>
  </si>
  <si>
    <t>Коэффициент рождаемости в возрасте 35 - 39 лет</t>
  </si>
  <si>
    <t>1.1.11.1</t>
  </si>
  <si>
    <t>Предоставление единовременной денежной выплаты на улучшение жилищных условий граждан, имеющих право на меры социальной поддержки в соответствии со статьями 14,15,21 (в части предоставления мер социальной поддержки членам семьи погибшим (умерших) инвалидов и участников Великой Отечественной войны) Федерального закона "О ветеранах"</t>
  </si>
  <si>
    <t>Выплата компенсаций в виде субсидий за предоставление социальных услуг (оказываемых гражданам старших возрастов, инвалидам, включая детей инвалидов) поставщикам социальных услуг, включенным в реестр поставщиков социальных услуг и не участвующим в выполнении государственного задания (заказа)</t>
  </si>
  <si>
    <t>43</t>
  </si>
  <si>
    <t>Заключено государственных и муниципальных контрактов на отчетную дату, тыс. рублей</t>
  </si>
  <si>
    <t>Объем финансирования, предусмотренный государственной программой на текущий год, тыс. рублей</t>
  </si>
  <si>
    <t xml:space="preserve">09.01.2020
</t>
  </si>
  <si>
    <t xml:space="preserve">31.12.2020
</t>
  </si>
  <si>
    <t xml:space="preserve">09.01.2020 
</t>
  </si>
  <si>
    <t xml:space="preserve">09.01.2020 
</t>
  </si>
  <si>
    <t>Предоставление денежной компенсации за бензин, ремонт, техническое обслуживание транспортных средств и запасные части к ним некоторым категориям инвалидов из числа ветеранов в соответствии с Законом Краснодарского края от 29 апреля 2008 г.                                      № 1457-КЗ "О компенсации расходов, связанных с эксплуатацией транспортных средств, некоторым категориям жителей Краснодарского края"</t>
  </si>
  <si>
    <t xml:space="preserve">01.04.2020 
</t>
  </si>
  <si>
    <t xml:space="preserve">01.07.2020 
</t>
  </si>
  <si>
    <t>х</t>
  </si>
  <si>
    <t>Предоставление ежегодной денежной выплаты лицам, подвергшимся радиационным воздействиям, и их семьям в соответствии с Законом Краснодарского края от 27 марта 2007 г.  № 1209-КЗ "О ежегодной денежной выплате отдельным категориям граждан, подвергшихся радиационным воздействиям, и их семьям"</t>
  </si>
  <si>
    <t>Предоставление  денежной компенсации за бензин, ремонт, техническое обслуживание транспортных средств и запасные части к ним некоторым категориям инвалидов из числа ветеранов в соответствии с Законом Краснодарского края от 29 апреля 2008 г.  № 1457-КЗ "О компенсации расходов,  связанных с эксплуатацией транспортных средств, некоторым категориям жителей Краснодарского края"</t>
  </si>
  <si>
    <t>1.1.10.2</t>
  </si>
  <si>
    <t>1.1.2.12</t>
  </si>
  <si>
    <t>Ежемесячная денежная выплата на ребенка в возрасте от трех до семи лет включительно</t>
  </si>
  <si>
    <t>2.3.8</t>
  </si>
  <si>
    <t>Доля детей в возрасте от трех до семи лет включительно, в отношении которых произведена ежемесячная денежная выплата, в общей численности детей этого возраста</t>
  </si>
  <si>
    <t xml:space="preserve">Предоставление субвенций местным бюджетам муниципальных образований Краснодарского края в соответствии с Законом Краснодарского края                        от 29 декабря 2007 г.                                                                                     № 1372-КЗ "О наделении органов местного самоуправления в Краснодарском крае государственными полномочиями Краснодарского края по организации и осуществлению деятельности по опеке и попечительству в отношении несовершеннолетних" для финансового обеспечения  осуществления отдельных государственных полномочий по организации и осуществлению деятельности по опеке и попечительству в отношении несовершеннолетних, за исключением полномочий по формированию и ведению регионального банка данных о детях,  оставшихся  без попечения родителей </t>
  </si>
  <si>
    <t>Пономаренко</t>
  </si>
  <si>
    <t>Ролик</t>
  </si>
  <si>
    <t>Чернышева</t>
  </si>
  <si>
    <t>ролик</t>
  </si>
  <si>
    <t>талькова</t>
  </si>
  <si>
    <t>луценко С.В.</t>
  </si>
  <si>
    <t>Луценко С.В.</t>
  </si>
  <si>
    <t>Исаева</t>
  </si>
  <si>
    <t>пономаренко</t>
  </si>
  <si>
    <t>Голыба</t>
  </si>
  <si>
    <t>Босенко</t>
  </si>
  <si>
    <t>Печонова</t>
  </si>
  <si>
    <t>Панченко</t>
  </si>
  <si>
    <t>Шульга</t>
  </si>
  <si>
    <t>Предоставление мер социальной поддержки по обеспечению жильем отдельных категорий граждан, установленных Федеральным законом                  от 12 января 1995 г. № 5-ФЗ «О ветеранах» (пунктом 2 части 3 статьи 23.2), в соответствии с Указом Президента Российской Федерации от 7 мая 2008 г. № 714 «Об обеспечении жильем ветеранов Великой Отечественной войны 1941 - 1945 годов»</t>
  </si>
  <si>
    <t>управления социальной защиты населения Краснодарского края</t>
  </si>
  <si>
    <t>Предоставление ежемесячного пособия родителям военнослужащих, лиц рядового и начальствующего состава органов внутренних дел и сотрудников органов Федеральной службы безопасности, погибших при исполнении обязанностей военной службы (служебных обязанностей), в соответствии с Законом Краснодарского края                    от 7 июня 2004 г. № 719-КЗ                                                                                                                                "О ежемесячном пособии родителям военнослужащих, лиц рядового и начальствующего состава органов внутренних дел и сотрудников органов Федеральной службы безопасности, погибших при исполнении обязанностей военной службы (служебных обязанностей)"</t>
  </si>
  <si>
    <t>Предоставление лицу, взявшему на себя обязательства осуществить погребение, социального пособия на погребение в Краснодарском крае, единовременной материальной помощи гражданам, понесшим расходы, связанные с погребением малоимущих</t>
  </si>
  <si>
    <t>Ежемесячная выплата Героям Советского Союза, Героям Российской Федерации, полным кавалерам ордена Славы, вдовам (вдовцам) Героев Советского Союза, Героев Российской Федерации и полных кавалеров ордена Славы в соответствии с Законом Краснодарского края от 30 апреля 2019 г.               № 4015-КЗ "О ежемесячной вы-плате Героям Советского Союза, Героям Российской Федерации, полным кавалерам ордена Славы, вдовам (вдовцам) Героев Советского Союза, Героев Российской Федерации и полных кавалеров ордена Славы"</t>
  </si>
  <si>
    <t xml:space="preserve">Предоставление дополнительной меры социальной поддержки  по оплате проезда на автомобильном транспорте общего пользования в междугородном сообщении и поездах дальнего следования
к месту реабилитации (туда и обратно) инвалидам по зрению и лицам, сопровождающим инва-лидов по зрению                              1 группы, при их сопровождении 
к месту реабилитации (туда и обратно) и от места реабилитации (туда и обратно)
</t>
  </si>
  <si>
    <t xml:space="preserve">Предоставление дополнительной меры социальной поддержки по улучшению жилищных условий (ремонт, повыше-ние уровня благоустройства жилых помещений) граждан, имеющих право на меры социальной поддержки в соответствии со статьями 14, 15, а также 
статьей 21 (в части предоставления мер социальной поддержки членам семьи погибших (умерших) инвалидов и участников Великой Отече-ственной войны) Федерального закона «О ветеранах»
</t>
  </si>
  <si>
    <t xml:space="preserve">Контрольное событие 1.1                                                                                                Оформление документов на право пользование мерами социальной поддержки отдельным категориям граждан, по вопросам отнесенным к компетенции органов государственной власти Краснодарского края
</t>
  </si>
  <si>
    <t>Предоставление субсидий государственным бюджетным и автономным учреждениям на приобретение автотранспорта в целях осуществления доставки лиц старше 65 лет, проживающих в сельской местности, в медицинские организации в рамках регионального проекта Краснодарского края «Разработка и реализация программы системной поддержки и повышения качества жизни граждан старшего поколения «Старшее поколение»</t>
  </si>
  <si>
    <t>на предоставление компенсации расходов педагогическим работникам государственных организаций, осуществляющих образовательную деятельность, проживающим и работающим в сельских населенных пунктах, рабочих поселках (поселках городского типа) на территории Краснодарского края, за счет краевого бюджета на оплату жилых помещений, отопления и освещения в соответствии с Законом Краснодарского края                         от 16 июля 2013 г.                                                                            № 2770-КЗ "Об образовании в Краснодарском крае"</t>
  </si>
  <si>
    <t>Выплата единовременного пособия беременной жене военнослужащего, проходящего военную службу по призыву, и ежемесячного пособия на ребенка военнослужащего, проходящего военную службу по призыву в соответствии с Федеральным законом от 19 мая 1995 г. № 81-ФЗ "О государственных пособиях гражданам, имеющим детей"</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</si>
  <si>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 № 81-ФЗ                                                                           "О государственных пособиях гражданам, имеющим детей"</t>
  </si>
  <si>
    <t xml:space="preserve">начальник отдела по социальной защите семьи, материнства, дет-ства Голыба В.Н.
</t>
  </si>
  <si>
    <t>Предоставление субсидий государственным автономным учреждениям на обеспечение детей первых шести месяцев жизни, родившихся не ранее 1 августа 2014 г. и находящихся на смешанном или искусственном вскармливании, из семей со среднедушевым доходом, размер которого не  превышает величины прожиточного минимума на душу населения, установленного в Краснодарском крае, по заключению врача полноценным питанием посредством бесплатного предоставления специализированных продуктов детского питания  в соответствии с Законом Краснодарского края от 30 июня 1997 г. № 90-КЗ "Об охране здоровья населения Краснодарского края"</t>
  </si>
  <si>
    <t>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в соответствии с Законом Краснодарского края от 15 декабря 2004 г.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t>
  </si>
  <si>
    <t xml:space="preserve">Предоставление денежной компенсации на полноценное питание беременным женщинам, кормящим матерям, а также детям в возрасте до трех лет, за исключением детей первых шести месяцев жизни, родившихся не ранее 1 августа 2014 г. и находящихся на смешанном или искусственном вскармливании , из семей со среднедушевым доходом, размер которого не превышает величину прожиточного минимума на душу населения, установленного в Краснодарском крае в соответствии с Законом Краснодарского края                                                    от 30 июня 1997 г. № 90-КЗ "Об охране здоровья населения Краснодарского края"
</t>
  </si>
  <si>
    <t xml:space="preserve">Предоставление дополнительной меры социальной поддержки  по оплате проезда на автомобильном транспорте общего пользования в междугородном сообщении и поездах дальнего следования к месту реабилитации (туда и обратно) инвалидам по зрению и лицам, сопровождающим инвалидов по зрению 1 группы, при их сопровождении к месту реабилитации (туда и обратно) и от места реабилитации (туда и обратно)
</t>
  </si>
  <si>
    <t xml:space="preserve">Предоставление субсидий юридическим лицам (за исключением субсидий государственным (муниципальным) учреждениям), индивидуальным предпринимателям в целях возмещения недополученных доходов в связи с оказанием услуг по  транспорте общего пользования на муниципальных маршрутах регулярных перевозок в городском, пригородном, междугородном сообщениях, межмуниципальных маршрутах регулярных перевозок в пригородном сообщении, а также на смежных  межрегиональных маршрутах регулярных перевозок в пригородном сообщении, начальные и конечные остановочные пункты которых расположены в границах Краснодарского края, железнодорожном транспорте пригородного сообщения отдельных категорий жителей Краснодарского края в соответствии с Законом Краснодарского края от 13 февраля 2006 г. № 987-КЗ «О дополнительных мерах социальной поддержки по оплате проезда отдельных категорий жителей Краснодарского края межрегиональных маршрутах регулярных перевозок в пригородном сообщении, начальные и конечные остановочные пункты которых расположены в границах Краснодарского края, железнодорожном транспорте пригородного сообщения отдельных категорий жителей Краснодарского края в соответствии с Законом Краснодар-ского края от 13 февраля 2006 г. № 987-КЗ «О дополнительных мерах социальной поддержки по оплате проезда отдельных категорий жителей Краснодарского края на 2006 –2023 годы» (за исключением мер социальной поддержки, предусмотренных подпунктом 1.1.8.1 настоящего пункта)
</t>
  </si>
  <si>
    <t xml:space="preserve">Обеспечение изготовления талонов и проездных документов в целях реализации дополнительных мер социальной поддержки по оплате проезда отдельных категорий жителей Краснодарского края, установленных Законом Краснодарского края от 13 февраля 2006 г. № 987-КЗ «О дополнительных мерах социальной поддержки по оплате проезда отдельных категорий жителей Краснодарского края на 2006 – 2023 годы» (за исключением мер социальной поддержки, предусмотренных подпунктом 1.1.8.4 настоящего пункта)
</t>
  </si>
  <si>
    <t xml:space="preserve">Предоставление мер социальной поддержки по обеспечению жильем за счет средств федерального бюджета отдельных категорий граждан, установленных Федеральным законом от 12 января 1995 г. № 5-ФЗ «О ветеранах» (пунктом 3 части 3 статьи 23.2) (за исключением мер социальной поддержки, предусмотренных подпунктом 1.1.10.1 настоящего пункта)
</t>
  </si>
  <si>
    <t xml:space="preserve">Предоставление мер социальной поддержки по обеспечению жильем за счет средств федерального бюджета отдельных категорий граждан, установленных Федеральным законом от 24 ноября 1995 г. № 181-ФЗ «О социальной защите инвалидов в Российской Федерации» (статья 28.2) (за исключением мер социальной поддержки, предусмотренных подпунктом 1.1.10.1 настоящего пункта)
</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</si>
  <si>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 № 81-ФЗ "О государственных пособиях гражданам, имеющим детей"</t>
  </si>
  <si>
    <t xml:space="preserve">Предоставление субвенций местным бюджетам муниципальных образований Краснодарского края в соответствии с Законом Краснодарского края                                                                          от 15 декабря 2004 г. №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 на 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 </t>
  </si>
  <si>
    <t>Выплата гражданам пожилого возраста (достигшие возраста 60 и 55 лет (соответственно мужчины и женщины) либо возраста, дающего право на страховую пенсию по старости в соответствии с частью 1 статьи 8 Федерального закона                                                                                                      от 28 декабря 2013 г.                                                                № 400-ФЗ "О страховых пенсиях") и одиноким гражданам, страдающим хроническими заболеваниями, неспособным удовлетворять свои основные жизненные потребности, получающим медико-социальную помощь на дому, в учреждениях государственной и муниципальной систем здравоохранения, в учреждениях системы социальной защиты населения, в целях  льготного обеспечения протезами, ортопедическими корригирующими изделиями, слуховыми аппаратами</t>
  </si>
  <si>
    <t>Предоставление субвенций местным бюджетам муниципальных образований Краснодарского края, для финансового обеспечения осуществления отдельных государственных полномочий по организации оздоровления и отдыха детей, переданных в соответствии с Законом Краснодарского края                                                от 3 марта 2010 г.                                                № 1909-КЗ "О наделении органов местного самоуправления в Краснодарском крае государственными полномочиями Краснодарского края по организации оздоровления и отдыха детей"</t>
  </si>
  <si>
    <t>Оказание государственной социальной помощи малоимущим семьям, малоимущим одиноко проживающим гражданам (за исключением мероприятий, предусмотренных подпунктом 1.1.9.1.2)</t>
  </si>
  <si>
    <t>1.1.9.1.1</t>
  </si>
  <si>
    <t>Причины неполного финансирования (отсутствия финансирования)</t>
  </si>
  <si>
    <t>Причины несоблюдения планового срока реализации, неполного финансирования                   ( отсутствия финансирования)</t>
  </si>
  <si>
    <t xml:space="preserve">Контрольное событие 2.2
Развитие материально-технической базы учреждений, обслуживающих пожилых людей и инвалидов в различных условиях социальной сферы
</t>
  </si>
  <si>
    <t xml:space="preserve">Контрольное событие 2.3
Работа мобильных бригад в государственных и автономных учреждениях Краснодарского края, предоставляющих социальные услуги на мобильной основе, для оказания неотложных социальных услуг пожилым людям и (или) инвалидам организована во всех сельских муниципальных образованиях края
</t>
  </si>
  <si>
    <t xml:space="preserve">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 в соответствии с Законом Краснодарского края  от 15 декабря 2004 г.  №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 </t>
  </si>
  <si>
    <t>Пособия отдельным категориям работников Краснодарского края в соответствии с Законом Краснодарского края от  21 июля 2005 г. № 921-КЗ "О государственной поддержке отдельных категорий работников Краснодарского края"</t>
  </si>
  <si>
    <t>Предоставление ежегодной денежной выплаты лицам, подвергшимся радиационным воздействиям, и их семьям в соответствии с Законом Краснодарского края от 27 марта 2007 г. № 1209-КЗ "О ежегодной денежной выплате отдельным категориям граждан, подвергшихся радиационным воздействиям, и их семьям"</t>
  </si>
  <si>
    <t xml:space="preserve">Предоставление субсидий на оплату жилого помещения и коммунальных услуг гражданам, расходы которых на оплату жилого помещения и коммунальных услуг превышают региональный стандарт максимально допустимой доли таких расходов, установленный в размере 22 процентов от совокупного дохода семьи </t>
  </si>
  <si>
    <t xml:space="preserve">Ежемесячные денежные выплаты ветеранам труда и ветеранам военной службы, достигшим возраста 60 и 55 лет (соответственно мужчины и женщины), либо после назначения им пенсии в территориальных органах Пенсионного фонда Российской  Федерации, жертвам политических репрессий, достигшим возраста 60 и 55 лет (соответственно мужчины и женщины), либо являющимся пенсионерами, труженикам тыла, - жителям Краснодарского края (за исключением мер социальной поддержки, предусмотренных подпунктом 1.1.2.1 настоящего пункта)
</t>
  </si>
  <si>
    <t>Предоставление мер социальной поддержки по оплате жилищно - коммунальных услуг отдельным категориям граждан в соответствии сфедеральными законами от 24 ноября 1995 г. № 181-ФЗ "О социальной защите инвалидов в  Российской Федерации"; Законами Российской Федерации от 12 января 1995 г. № 5-ФЗ  "О ветеранах"; от 15 мая 1991 г. № 1244-1 "О социальной защите граждан, подвергшихся воздействию радиации вследствие катастрофы на Чернобыльской АЭС"</t>
  </si>
  <si>
    <t>Предоставления мер социальной поддержки отдельных категорий граждан, проживающих на территории Краснодарского края, по оплате взносов на капитальный ремонт общего имущества собственников помещений в многоквартирном доме в соответствии с Законом Краснодарского края от 28 декабря 2015 г. № 3316-КЗ "О мерах социальной поддержки отдельных категорий граждан, проживающих на территории Краснодарского края, по оплате взносов на капитальный ремонт общего имущества собственников помещений в многоквартирном доме"</t>
  </si>
  <si>
    <t>Компенсация расходов на оплату жилого помещения и коммунальных услуг ветеранам труда и ветеранам военной службы, достигшим возраста 60 и 55 лет (соответственно мужчины и женщины), либо после назначения им пенсии в территориальных органах Пенсионного фонда Российской Федерации, жертвам политических репрессий, достигшим возраста 60 и 55 лет (соответственно мужчины и женщины), либо являющимся пенсионерами, постоянно проживающим на территории Краснодарского края (за исключением мер социальной поддержки, предусмотренных подпунктом 1.1.3.1 настоящего пункта)</t>
  </si>
  <si>
    <t>Выплата ежемесячного пособия вдовам военнослужащих, лиц рядового и начальствующего состава органов внутренних дел и сотрудников органов федеральной службы безопасности, погибших при исполнении обязанностей военной службы (служебных обязанностей) в соответствии с Законом Краснодарского края от 5 ноября 2002 г. № 537-КЗ "О ежемесячном пособи вдовам  военнослужащих, лиц рядового и начальствующего составаорганов внутренних дел и  сотрудников  органов Федеральной службы безопасности, погибших при исполнении обязанностей военной службы (служебных обязанностей)"</t>
  </si>
  <si>
    <t>Предоставление ежемесячного пособия родителям военнослужащих, лиц рядового и начальствующего состава органов внутренних дел и сотрудников органов Федеральной службы безопасности, погибших при исполнении обязанностей военной службы (служебных обязанностей), в соответствии с Законом Краснодарского края от 7 июня 2004 г.                                                                                          № 719-КЗ "О ежемесячном пособии родителям военнослужащих, лиц рядового и начальствующего состава органов внутренних дел и сотрудников органов Федеральной службы безопасности, погибших при исполнении обязанностей военной службы (служебных обязанностей)"</t>
  </si>
  <si>
    <t>Предоставление инвалидам (в том числе детям-инвалидам),  имеющим транспортные средства в соответствии с медицинскими показаниями, или их законным представителям компенсации страховых премий по договору обязательного страхования гражданской ответственности владельцев транспортных средств в соответствии с Федеральным Законом от 25 апреля 2002 г. № 40-ФЗ "О обязательном страховании гражданской ответственности владельцев транспортных средств"</t>
  </si>
  <si>
    <t>Выплата гражданам пожилого возраста (достигшим возраста 60 и 55 лет (соответственно мужчины и женщины) либо возраста, дающего право на страховую пенсию по старости в соответствии с частью 1 статьи 8
Федерального закона от 28 декабря 2013 г.                                        № 400-ФЗ "О страховых пенсиях" и одиноким гражданам, страдающим хроническими заболеваниями, неспособным удовлетворять свои
основные жизненные потребности, получающим медико-социальную помощь на дому, в государственных медицинских организациях, в организациях социального
обслуживания, у граждан, осуществляющих без образования юридического лица предпринимательскую деятельность в сфере
социального обслуживания, в целях льготного обеспечения протезами, ортопедическими корригирующими изделиями, слуховыми аппаратами (за
исключением мер социальной поддержки, предусмотренных подпунктом 1.1.5.3
настоящего пункта)</t>
  </si>
  <si>
    <t xml:space="preserve">Ежемесячная выплата Героям Советского Союза, Героям Российской Федерации, полным кавалерам ордена Славы, вдовам (вдовцам) Героев Советского Союза, Героев Российской Федерации и полных кавалеров ордена Славы в соответствии с Законом Краснодарского края от 30 апреля 2019 г. № 4015-КЗ "О ежемесячной выплате Героям Советского Союза, Героям Российской Федерации, полным кавалерам ордена Славы, вдовам (вдовцам) Героев Советского Союза, Героев Российской Федерации и полных кавалеров ордена Славы"
</t>
  </si>
  <si>
    <t>Предоставление пособий на оплату проезда лицам, нуждающимся в проведении гемодиализа в соответствии с Законом Краснодарского края от  6 февраля 2008 г.                                                                                                                                                                 № 1388-КЗ "О выплате пособий на оплату проезда лицам, нуждающимся в проведении гемодиализа"</t>
  </si>
  <si>
    <t>Предоставление субсидий государственным бюджетным и автономным учреждениям на приобретение автотранспорта в целях осуществления доставки лиц старше 65 лет, проживающих в сельской местности, в медицинские организации в рамках региональногопроекта Краснодарского края "Разработка и реализация программы системной поддержки и повышения качества жизни граждан старшего поколения Старшее поколение"</t>
  </si>
  <si>
    <t xml:space="preserve">на предоставление компенсации расходов педагогическим работникам государственных организаций, осуществляющих образовательную деятельность, проживающим и работающим в сельских населенных пунктах, рабочихпоселках (поселках городского типа) на территории Краснодарского края, за счет краевого бюджета на оплату жилых помещений, отопления и освещения в соответствии с Законом  Краснодарского края от 16 июля 2013 г.  № 2770-КЗ "Об образовании в Краснодарском крае"
</t>
  </si>
  <si>
    <t xml:space="preserve">Выплата единовременного пособия беременной жене военнослужащего, проходящего военную службу по призыву, и ежемесячного пособия на ребенка военнослужащего, проходящего военную службу по призыву в соответствии с Федеральным законом от 19 мая 1995 г.     № 81-ФЗ "О государственных пособиях гражданам, имеющим детей"   </t>
  </si>
  <si>
    <t xml:space="preserve">Ежемесячная денежная выплата одному из родителей, являющемуся гражданином Российской Федерации, на третьего ребенка или последующих детей, родившихся в период с 1 января 2013 г.  по 31 декабря 2018 г., до достижения ими возрастатрех лет в соответствии с Законом Краснодарского края  от 1 августа 2012 г. № 2568-КЗ  "О дополнительных мерах социальной поддержки отдельных категорий граждан" и ежемесячная денежная выплата нуждающимся в поддержке семьям при рождении  третьего ребенка или последующих детей, родившихся в период  с 1 января 2019 г.  по 31 декабря 2021 г. в соответствии с Законом Краснодарского края от 21 декабря 2018 г. № 3950-КЗ "О ежемесячной денежной выплате нуждающимся в поддержке семьям при рождении третьего ребенка или последующих детей" в рамках регионального проекта Краснодарского края "Финансовая поддержка семей при рождении детей" </t>
  </si>
  <si>
    <t>Осуществление ежемесячной выплаты в связи с рождением (усыновлением) первого ребенка в соответствии с Федеральным законом от 28 декабря 2017 г. № 418-ФЗ "О ежемесячных выплатах семьям, имеющим детей" в рамках регионального проекта Краснодарского края "Финансовая поддержка семей при рождении детей"</t>
  </si>
  <si>
    <t>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 в  соответствии с Законом Краснодарского края от 15 декабря 2004 г. №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t>
  </si>
  <si>
    <t>Предоставление субвенций местным бюджетам муниципальных образований Краснодарского края в соответствии с Законом Краснодарского края от 15 декабря 2004 г. №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 на 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</si>
  <si>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Предоставление субвенций местным бюджетам муниципальных образований Краснодарского края для финансового обеспечения осуществления отдельных государственных полномочий по организации оздоровления и отдыха детей, переданных в соответствии с Законом Краснодарского края  от 3 марта 2010 г. № 1909-КЗ "О наделении органов местного самоуправления в Краснодарском крае государственными полномочиями Краснодарского края по организации оздоровления и отдыха детей"</t>
  </si>
  <si>
    <t>Предоставление субвенций местным бюджетам муниципальных образований Краснодарского края на осуществление отдельных государственных полномочий по созданию и организации деятельности комиссий по делам несовершеннолетних и защите их прав в соответствии с  Законом Краснодарского края от 13 ноября 2006 г. № 1132-КЗ "О комиссиях по делам несовершеннолет них и защите их прав в Краснодарском крае"</t>
  </si>
  <si>
    <t>Осуществление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 в соответствии пунктом 3 статьи 25 Федерального закона от 24 июня 1999 г. № 120-ФЗ "Об основах системы профилактики безнадзорности и правонарушений несовершеннолетних"</t>
  </si>
  <si>
    <t xml:space="preserve">Компенсация расходов на оплату жилого помещения и коммунальных услуг ветеранам труда и ветеранам военной службы, достигшим возраста, дающего право на страховую пенсию по старости в соответствии с Федеральным законом "О страховых пенсиях", жертвам политических репрессий,  постоянно проживающим на территории Краснодарского края </t>
  </si>
  <si>
    <t xml:space="preserve">Предоставление мер социальной поддержки по оплате жилищно-коммунальных услуг отдельным категориям граждан в соответствии с Федеральным законом от 24 ноября 1995 г.          № 181-ФЗ "О социальной защите инвалидов в Россий-ской Федерации"; Законами Российской Федерации от 12 января 1995 г. № 5-ФЗ "О ветеранах"  от 15 мая 1991 г.  № 1244-1 "О социальной защите граждан, подвергшихся воздействию радиации вследствие катастрофы на Чернобыльской АЭС"
</t>
  </si>
  <si>
    <t xml:space="preserve">Предоставление инвалидам (в том числе детям-инвалидам), имеющим транспортные средства в соответствии с медицинскими показаниями, или их законным представителям компенсации страховых премий по договору обязательного страхования гражданской ответственности владельцев транспортных средств в соответствии с Федеральным законом от 25 апреля 2002 г.          № 40-ФЗ "Об обязательном страховании гражданской ответственности владельцев транспортных средств" </t>
  </si>
  <si>
    <t>Предоставление ежегодной денежной выплаты лицам, награжденным нагрудными знаками "Почетный донор России", "Почетный донор СССР" в соответствии с Федеральным законом                             от 20 июля 2012 г.  № 125-ФЗ            "О донорстве крови и ее компонентов"</t>
  </si>
  <si>
    <t>Предоставление субсидий юридическим лицам, индивидуальным предпринимателям (за исключением государственных (муниципальных) учреждений) в целях возмещения недополученных доходов в связи с оказанием услуг (выполнением работ) гражданам, проживающим на территории Краснодарского края, имеющим право на льготы, указанные в частях  1-3 статьи 4, части 2 статьи 6 Закона Краснодарского края                                                           от 5 мая 2006 г. № 1026-КЗ "О статусе Героев Кубани и Героев труда Кубани"</t>
  </si>
  <si>
    <t>Предоставление юридическим лицам, индивидуальным предпринимателям (за исключением государственных (муниципальных) учреждений) в целях возмещения недополученных доходов в связи с оказанием услуг (выполнением работ) гражданам, проживающим на территории Краснодарского края, имеющим право на льготы, указанные в частях 1 - 3 статьи 4, части 2 статьи 6 Закона Краснодарского края от 5 мая 2006 г. № 1026-КЗ "О статусе Героев Кубани и Героев труда Кубани"</t>
  </si>
  <si>
    <t xml:space="preserve">Предоставление субсидий юридическим лицам (за исключением субсидий государственным (муниципальным) учреждениям), индивидуальным предпринимателям в целях возмещения недополученных доходов в связи с оказанием услуг по перевозке на городском наземном электрическом транспорте, автомобильном транспорте общего пользования на муниципальных маршрутах регулярных перевозок в городском, пригородном, междугородном          сообщениях, межмуниципальных маршрутах регулярных перевозок в пригородном сообщении, а также на смежных межрегиональных маршрутах регулярных перевозок в пригородном сообщении, начальные и конечные остановочные пункты которых расположены в границах Краснодарского края, железнодорожном транспорте пригородного сообщения отдельных категорий жителей Краснодарского края в соответствии с Законом Краснодарского края от 13 февраля 2006 г. № 987-КЗ «О дополнительных мерах социальной поддержки 
по оплате проезда 
отдельных категорий жителей Краснодарского края на 2006 –2023 годы» (за исключением мер социальной поддержки, предусмотренных подпунктом 1.1.8.1 настоящего пункта)
</t>
  </si>
  <si>
    <t xml:space="preserve">Обеспечение изготовления талонов и проездных документов в целях реализации дополнительных мер социальной поддержки
по оплате проезда 
отдельных категорий жителей Краснодарского края, установленных Законом Краснодарского края от 13 февраля 2006 г. № 987-КЗ «О дополнительных мерах социальной поддержки по оплате проезда отдельных категорий жителей Краснодарского края на 2006 – 2023 годы» (за исключением мер социал-ной поддержки, пред-смотренных подпунктом 1.1.8.4 настоящего пункта)
                             </t>
  </si>
  <si>
    <t xml:space="preserve">Предоставление мер социальной поддержки по обеспечению жильем за счет средств федерального бюджета отдельных категорий граждан, установленных Федеральным законом от 24 ноября 1995 г. 
№ 181-ФЗ «О социальной защите инвалидов в Российской Федерации» (статья 28.2) 
(за исключением мер социальной поддержки, предусмотренных подпунктом 1.1.10.1 нас-тоящего пункта)
</t>
  </si>
  <si>
    <t xml:space="preserve">Предоставление мер социальной поддержки по обеспечению жильем за счет средств федерального бюджета отдельных категорий граждан, установленных Федеральным законом от 12 января 1995 г.          № 5-ФЗ «О ветеранах»                       (пунктом 3 части 3 статьи 23.2) (за исключением мер социальной поддержки, предусмотренных под-пунктом 1.1.10.1 настоящего пункта)
</t>
  </si>
  <si>
    <t>на предоставление мер социальной поддержки работников организаций социального обслуживания в соответствии с пунктом 5 части 2 статьи 10 Закона Краснодарского края                              от 5 ноября 2014 г.  № 3051-КЗ                                        "О социальном обслуживании населения на территории Краснодарского края"</t>
  </si>
  <si>
    <t>Предоставление субсидий государственным автономным учреждениям на обеспечение детей первых шести месяцев жизни, родившихся не ранее 1 августа 2014 г. и находящихся на смешанном или искусственном вскармливании, из семей со среднедушевым доходом, размер которого не превышает величины прожиточного минимума на душу населения, установленного в Краснодарском крае, по заключению врача полноценным питанием  посредством бесплатного предоставления специализированных продуктов детского питания в соответствии с Законом Краснодарского края от 30 июня 1997 г.  № 90-КЗ "Об охране здоровья населения Краснодарского края"</t>
  </si>
  <si>
    <t>Предоставление денежной компенсации на полноценное питание беременным женщинам, кормящим матерям, а также детям в возрасте до трех лет, за исключением детей первых шести  месяцев жизни, родившихся не ранее 1 августа 2014 г. и находящихся на смешанном или искусственном вскармливании, изсемей со среднедушевым доходом, размер которого не превышает величины прожиточного минимума на душу населения, установленного в Краснодарском крае в соответствии с Законом Краснодарского края                                                                                 от 30 июня 1997 г. № 90-КЗ "Об охране здоровья населения Краснодарского края"</t>
  </si>
  <si>
    <t>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в соответствии  с Законом Краснодарского края                      от 15 декабря 2004 г.  №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t>
  </si>
  <si>
    <t>начальник отдела организации 
адресного предоставления льгот и субсидий Ролик Н.И.,                          начальник отдела по социальной  защите семьи, материнства, детства в управлении 
оздоровления и отдыха детей                                                                                         Голыба В.Н.,                                  начальник отдела развития семейных форм устройства  детей-сирот и детей, оставшихся без попечения родителей               Босенко Ю.Л., начальник отдела организации назначения и выплаты  государственных гарантий и компенсаций Пономаренко Н.Ю., начальник отдела организации оздоровления и отдыха детей в управлении оздоровления и отдыха детей   Рохлин П.Н.</t>
  </si>
  <si>
    <t>Выплата пособия на ребенка в соответствии с Законом Краснодарского края                              от 15 декабря 2004 г.  № 807-КЗ "О пособии на ребенка"</t>
  </si>
  <si>
    <t>Ежемесячная денежная выплата одному из родителей, являющемуся гражданином Российской Федерации, на третьего ребенка или последующих детей, родившихся в период  с 1 января 2013 г.  по 31 декабря 2018 г., до достижения ими возраста трех лет в соответствии с Законом Краснодарского края от 1 августа 2012 г.  № 2568-КЗ "О дополнительных мерах социальной поддержки отдельных категорий граждан" и ежемесячная денежная выплата нуждающимся в поддержке семьям при рождении  третьего ребенка или последующих детей, родившихся в период                                                               с 1 января 2019 г.                                     по 31 декабря 2021 г. в соответствии с Законом Краснодарского края                                                              от 21 декабря 2018 г.                                                                                       № 3950-КЗ "О ежемесячной денежной выплате нуждающимся в поддержке семьям при рождении третьего ребенка или последующих детей" в рамках регионального проекта Краснодарского края "Финансовая поддержка семей при рождении детей"</t>
  </si>
  <si>
    <t>Предоставление мер социальной поддержки по обеспечению жильем отдельных категорий граждан, установленных Федеральным законом                                     от 12 января 1995 г. № 5-ФЗ «О ветеранах» (пунктом 2 части 3 статьи 23.2), в соответствии с Указом Президента Российской Федерации от 7 мая 2008 г.         № 714 «Об обеспечении жильем ветеранов Великой Отечественной войны 1941 - 1945 годов»</t>
  </si>
  <si>
    <t>на предоставление мер социальной поддержки работников организаций социального обслуживания в соответствии с пунктом 5 части 2 статьи 10 Закона Краснодарского края от 5 ноября 2014 г.  № 3051-КЗ "О социальном обслуживании населения на территории Краснодарского края"</t>
  </si>
  <si>
    <t xml:space="preserve">Предоставление дополнительных мер социальной поддержки в виде единовременной выплаты малоимущим семьям и малоимущим одиноко проживающим гражданам Краснодарского края на возмещение расходов по приобретению оборудования в связи с переходом на цифровое телерадиовещание </t>
  </si>
  <si>
    <t>не выполнено</t>
  </si>
  <si>
    <t xml:space="preserve">не выполнено </t>
  </si>
  <si>
    <t>Значение целевого показателя на:</t>
  </si>
  <si>
    <t>Изготовление бланков удостоверений многодетной семьи</t>
  </si>
  <si>
    <t>Предшествую- щий отчетный год</t>
  </si>
  <si>
    <t>Осуществление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 в соответствии с пунктом 3 статьи 25 Федерального закона от 24 июня 1999 г. № 120-ФЗ "Об основах системы профилактики безнадзорности и правонарушений несовершеннолетних"</t>
  </si>
  <si>
    <t xml:space="preserve">начальник планово-финансового отдела Зенкин Р.С.
</t>
  </si>
  <si>
    <t>начальник планово-финансового отдела Зенкин Р.С.,
начальник отдела организации назначения и выплаты государственных гарантий и компенсаций
Пономаренко Н.Ю.</t>
  </si>
  <si>
    <t xml:space="preserve">начальник планово-финансового отдела Зенкин Р.С.,
начальник отдела организации назначения и выплаты государственных гарантий и компенсаций
Пономаренко Н.Ю.
</t>
  </si>
  <si>
    <t xml:space="preserve">начальник 
планово-финансового отдела 
Зенкин Р.С.,
начальник отдела организации назначения и выплаты государственных гарантий и компенсаций
Пономаренко Н.Ю.
</t>
  </si>
  <si>
    <t xml:space="preserve">начальник планово-финансового отдела Зенкин Р.С.,                          начальник 
отдела организации адресного 
предоставления льгот и субсидий 
Ролик Н.И.
</t>
  </si>
  <si>
    <t xml:space="preserve">начальник 
планово-финансового отдела 
Зенкин Р.С.,  начальник 
отдела организации адресного 
предоставления льгот и субсидий 
Ролик Н.И.
</t>
  </si>
  <si>
    <t>начальник планово-финансового отдела Зенкин Р.С..,                          начальник отдела организации адресного предоставления льгот и субсидий Ролик Н.И.</t>
  </si>
  <si>
    <t xml:space="preserve">начальник планово-финансового отдела Зенкин Р.С.,                            начальник отдела организации 
адресного предоставления льгот и субсидий Ролик Н.И.
</t>
  </si>
  <si>
    <t xml:space="preserve">начальник планово-финансового отдела Зенкин Р.С.,
начальник отдела организации назначения и выплаты государственных гарантий и компенсаций Пономаренко Н.Ю. 
</t>
  </si>
  <si>
    <t xml:space="preserve">начальник планово-финансового отдела Зенкин Р.С.,
начальник отдела организации назначения и выплаты государственных гарантий и компенсаций Пономаренко Н.Ю. </t>
  </si>
  <si>
    <t xml:space="preserve">начальник планово-финансового отдела Зенкин Р.С.,                          начальник отдела организации 
адресного предоставления льгот и субсидий Ролик Н.И. 
</t>
  </si>
  <si>
    <t xml:space="preserve">начальник планово-финансового отдела Зенкин Р.С.,                        начальник отдела организации 
адресного предоставления льгот и субсидий Ролик Н.И.
</t>
  </si>
  <si>
    <t xml:space="preserve">начальник планово-финансового отдела Зенкин Р.С.,                        начальник отдела организации адресного предоставления льгот и субсидий Ролик Н.И. 
</t>
  </si>
  <si>
    <t xml:space="preserve">начальник планово-финансового отдела Зенкин Р.С.,                        начальник отдела организации 
адресного предоставления льгот и субсидий Ролик Н.И. 
</t>
  </si>
  <si>
    <t xml:space="preserve">начальник планово-финансового отдела Зенкин Р.С.,                           начальник отдела организации 
адресного предоставления льгот и субсидий Ролик Н.И. </t>
  </si>
  <si>
    <t xml:space="preserve">начальник планово-финансового отдела Зенкин Р.С.,                        начальник отдела организации 
адресного предоставления льгот и субсидий Ролик Н.И. </t>
  </si>
  <si>
    <t xml:space="preserve">начальник планово-финансового отдела Зенкин Р.С.,
начальник отдела по делам 
ветеранов Чернышева Е.В. </t>
  </si>
  <si>
    <t xml:space="preserve">начальник планово-финансового отдела Зенкин Р.С.,
начальник отдела по делам 
ветеранов Чернышева Е.В. 
</t>
  </si>
  <si>
    <t>начальник планово-финансового отдела Зенкин Р.С., 
начальник отдела организации адресного предоставления льгот и субсидий Ролик Н.И.</t>
  </si>
  <si>
    <t xml:space="preserve">начальник планово-финансового отдела Зенкин Р.С.,                          начальник отдела по делам ветеранов 
Чернышева Е.В.,
начальник отдела организации назначения и выплаты государственных гарантий и компенсаций Пономаренко Н.Ю.,
начальник отдела организации адресного предоставления льгот и субсидий Ролик Н.И.
</t>
  </si>
  <si>
    <t>начальник планово-финансового отдела Зенкин Р.С.</t>
  </si>
  <si>
    <t>начальник планово-финансового отделаЗенкин Р.С.</t>
  </si>
  <si>
    <t xml:space="preserve">начальник планово-финансового отдела Зенкин Р.С.,
Начальник отдела организации деятельности домов-интернатов 
Талькова Т.Н.
</t>
  </si>
  <si>
    <t xml:space="preserve">начальник планово-финансового отдела Зенкин Р.С.,
начальник отдела организации социального обслуживания Дегтярь Л.В.
</t>
  </si>
  <si>
    <t xml:space="preserve">начальник планово-финансового отдела Зенкин Р.С.,
начальник отдела организации социального обслуживания Дегтярь Л.В.
</t>
  </si>
  <si>
    <t>Начальник планово-финансового отдела Зенкин Р.С.,
начальник отдела организации социального обслуживания Дегтярь Л.В.</t>
  </si>
  <si>
    <t xml:space="preserve">начальник планово-финансового отдела 
Зенкин Р.С.
</t>
  </si>
  <si>
    <t xml:space="preserve">начальник планово-финансового отдела Зенкин Р.С.,
начальник отдела организации 
деятельности домов-интернатов в
Талькова Т.Н.
</t>
  </si>
  <si>
    <t xml:space="preserve">начальник планово-финансового отдела Зенкин Р.С.,
начальник отдела организации и реабилитации инвалидов 
Шульга И.А., 
начальник отдела организации деятельности учреждений для несовершеннолетних Исаева И.Г.
</t>
  </si>
  <si>
    <t>начальник планово-финансового отдела Зенкин Р.С.,
 начальник отдела организации оздоровления и отдыха детей в управлении оздоровления и отдыха детей   Левченко В.Е.,
начальник отдела организации деятельности учреждений для несовершеннолетних Рохлин П.Н.</t>
  </si>
  <si>
    <t xml:space="preserve">начальник планово-финансового отдела Зенкин Р.С.,
начальник отдела организации 
назначения и выплаты 
государственных гарантий и компенсаций Пономаренко Н.Ю.
</t>
  </si>
  <si>
    <t xml:space="preserve">начальник планово-финансового отдела Зенкин Р.С.,
начальник отдела организации 
назначения и выплаты 
государственных гарантий и компенсаций Пономаренко Н.Ю.
</t>
  </si>
  <si>
    <t>начальник планово-финансового отдела Зенкин Р.С.,
начальник отдела организации 
назначения и выплаты 
государственных гарантий и компенсаций Пономаренко Н.Ю.</t>
  </si>
  <si>
    <t xml:space="preserve">начальник планово-финансового отдела Зенкин Р.С.,
начальник отдела по социальной защите семьи, материнства, детства в управлении оздоровления и отдыха детей                                                        Голыба В.Н.
</t>
  </si>
  <si>
    <t xml:space="preserve">начальник планово-финансового отдела Зенкин Р.С.,
начальник отдела развития семейных форм устройства детей-сирот и детей, оставшихся без попечения родителей                         Босенко Ю.Л. </t>
  </si>
  <si>
    <t xml:space="preserve">начальник планово-финансового отдела Зенкин Р.С.,
начальник отдела развития 
семейных форм устройства 
детей-сирот и детей, оставшихся без попечения родителей 
Босенко Ю.Л. 
</t>
  </si>
  <si>
    <t xml:space="preserve">начальник планово-финансового отдела Зенкин Р.С.,
начальник отдела организации 
адресного предоставления льгот и субсидий Ролик Н.И. 
</t>
  </si>
  <si>
    <t xml:space="preserve">начальника планово-финансового отдела Зенкин Р.С.,
начальник отдела развития семейных форм устройства 
детей-сирот и детей, оставшихся без попечения родителей 
Босенко Ю.Л. 
</t>
  </si>
  <si>
    <t xml:space="preserve">начальника планово-финансового отдела Зенкин Р.С.,
начальник отдела развития семейных форм устройства 
детей-сирот и детей, оставшихся без попечения родителей 
Босенко Ю.Л. </t>
  </si>
  <si>
    <t xml:space="preserve">начальник планово-финансового отдела Зенкин Р.С.,
начальник отдела обеспечения деятельности комиссии по делам несовершеннолетних и защите их прав Панченко Р.А.
</t>
  </si>
  <si>
    <t xml:space="preserve">начальник планово-финансового отдела Зенкин Р.С.,
начальник отдела организации деятельности учреждений для несовершеннолетних Исаева И.Г.
</t>
  </si>
  <si>
    <t xml:space="preserve">начальник планово-финансового отдела Зенкин Р.С.,
начальник отдела развития семейных форм устройства 
детейсирот и детей, оставшихся без попечения родителей                                               
Босенко Ю.Л.
</t>
  </si>
  <si>
    <t>Тришкин Данил Олегович
+7 (861) 259-22-97</t>
  </si>
  <si>
    <t>за  2020 год</t>
  </si>
  <si>
    <t xml:space="preserve">   за 2020 год</t>
  </si>
  <si>
    <r>
      <t xml:space="preserve">   за 2020 год</t>
    </r>
    <r>
      <rPr>
        <sz val="14"/>
        <color theme="0"/>
        <rFont val="Times New Roman"/>
        <family val="1"/>
        <charset val="204"/>
      </rPr>
      <t>.</t>
    </r>
  </si>
  <si>
    <t>С 27 марта 2020 г. отменены заезды организованных групп детей на санаторно- курортное лечение в ГАУ КК "Апшеонский ДОЛ" и его филиал</t>
  </si>
  <si>
    <t>7183</t>
  </si>
  <si>
    <t>Реализация мероприятия в полном объеме в 2020 году не состоялась в связи с введением на территроии Краснодарского края ограничительных мероприятий по предотвращению распространения коронавирусной инфекции</t>
  </si>
  <si>
    <t>заявительный характер выплаты пособий и компенсаций, зависит от доходов граждан, а также от установленных размеров региональных стандартов</t>
  </si>
  <si>
    <t>заявительный характер выплаты пособий и компенсаций. Назначается гражданам пожилого возраста, достигшим 55 лет (женщины) и 60 лет (мужчины), и одиноким гражданам,  не имеющим инвалидности, при наличии медицинских показаний о нуждаемости  в протезно-ортопедических изделиях и слуховых аппаратах</t>
  </si>
  <si>
    <t xml:space="preserve">Заявительный порядок обращения. </t>
  </si>
  <si>
    <t>заявительный характер выплаты пособий и компенсаций, зависит от присвоения статуса "Герой труда Кубани" или "Герой Кубани", от выбора указанными гражданами получения льгот в натуральном виде и обращений граждан за предоставлением натуральных льгот (возмещением в связи с сооружением надгробия умершим Героям труда Кубани и Героям Кубани).</t>
  </si>
  <si>
    <t xml:space="preserve">заявительный характер выплаты пособий и компенсаций, назначается министерством на основании документов, подтверждающих статус Героя  </t>
  </si>
  <si>
    <t>Заявительный порядок обращения. Численность перевезенных несовершеннолетних зависит от фактической потребности в оказании услуги, карантинные мероприятия</t>
  </si>
  <si>
    <t>Отклонение объема профинансированных  средств от объема финансирования, предусмотренного уточненной сводной бюджетной росписью составляет 124,7 тыс. рублей. Остаток сложился в связи с отсутствием заявлений граждан на получение мер социальной поддержки.</t>
  </si>
  <si>
    <t>Отклонение объема профинансированных  средств от объема финансирования, предусмотренного уточненной сводной бюджетной росписью составляет 44 003,2 тыс. рублей. Остаток сложился в связи с отсутствием заявлений граждан на получение мер социальной поддержки.</t>
  </si>
  <si>
    <t>6781</t>
  </si>
  <si>
    <t xml:space="preserve">Заявительный принцип, назначается, если среднедушевой доход умершего или среднедушевой доход всех совместно проживавших с ним членов семьи, включая доход умершего (погибшего), на день его смерти не превышал величину прожиточного минимума, установленого в КК для соответствующих социально-демографических групп населения </t>
  </si>
  <si>
    <t>заявительный характер выплаты пособий и компенсаций, выплачивается в пределах гарантированного перечня ритуальных услуг, установленного на территории Краснодарского края, за вычетом суммы социального пособия на погребение (5945 рублей 26 копеек)</t>
  </si>
  <si>
    <t xml:space="preserve">Заявительный порядок обращения, назначается на основании удостоверения о награждении нагрудным знаком "Почетный донор России"(Почетный донор СССР") выдаваемого Минздравом России </t>
  </si>
  <si>
    <t xml:space="preserve">предоставление дополнительных мер социальной поддержки по оплате проезда не являются обязательными, носят заявительный характер обращений, зависит от нуждаемости граждан в пользовании льготным проездом, а также дохода и изменения величины прожиточного минимума, которая ежеквартально меняется. </t>
  </si>
  <si>
    <t>В 2020 году  приказами министерства труда и социального развития Краснодарского края предоставлена единовременная денежная выплата на приобретение или строительство жилого помещения 35 гражданам из числа ветеранов боевых действий, членов семей погибших (умерших) инвалидов и ветеранов боевых действий. Из них приобрели жилые помещения 30 граждан, произведено расходов на сумму 25277,940 тыс. рублей.  5 граждан не реализовали единовременную денежную выплату
 в связи с наличием срока реализации меры социальной поддержки  - 9 месяцев. Сумма распределенных средств составляет 4212,990 тыс рублей.</t>
  </si>
  <si>
    <t>В 2020 году  приказами министерства труда и социального развития Краснодарского края предоставлена единовременная денежная выплата на приобретение жилого помещения в собственность 43 гражданам из числа инвалидов и семей, имеющих детей-инвалидов. Из них приобрели жилые помещения 42 гражданина, произведено расходов на сумму 35389,116 тыс. рублей.  1 гражданин не реализовал единовременную денежную выплату
 в связи с наличием срока реализации меры социальной поддержки  - 9 месяцев. Сумма распределенных средств составляет 842,598 тыс рублей.</t>
  </si>
  <si>
    <t>42</t>
  </si>
  <si>
    <t>Заявительный порядок обращения.</t>
  </si>
  <si>
    <t>Экономия по выплате командировочных расходов муниципальным служащим, восстановлением средств из ФСС по оплате листов временной нетрудоспособности, а так же уточнением расчетов по налогам</t>
  </si>
  <si>
    <t>Остаток сложился в связи с отсутствием заявлений граждан на получение мер социальной поддержки.</t>
  </si>
  <si>
    <t>Остаток сложился в связи с тем, что часть граждан получала выплату не полностью в течение всего отчетного периода, а только с месяца обращения за назначением выплаты.</t>
  </si>
  <si>
    <t xml:space="preserve"> Остаток сложился в связи с отсутствием заявлений граждан на получение мер социальной поддержки, а также в связи с неполным сроком получения пособия</t>
  </si>
  <si>
    <t>Экономия по результатам торгов</t>
  </si>
  <si>
    <t>Заявительный характер выплаты</t>
  </si>
  <si>
    <t xml:space="preserve"> Экономия по результатм конкурсных процедур.</t>
  </si>
  <si>
    <t xml:space="preserve"> Остаток сложился в связи с отсутствием заявлений граждан на получение мер социальной поддержки. По причине заявительного характера предоставления выплат перераспределение средств на другие мероприятия государственной программы являлось нецелесообразным.</t>
  </si>
  <si>
    <t xml:space="preserve"> Остаток сложился в связи с отсутствием заявлений граждан на получение мер социальной поддержки. </t>
  </si>
  <si>
    <t xml:space="preserve"> Остаток сложился в связи с отсутствием заявлений на получение выплаты и заявительным характером выплаты</t>
  </si>
  <si>
    <t>Заявительный характер, назначается на основании удостоверения о награждении нагрудным знаком "Почётный донор России" ("Почетный донор СССР"). По факту выполнения меропрития. (Размер выплаты ежегодно индексируется). Существуют ситуации, когда выплаты осуществляют и за прошлый период (в случае если гражданин имел право на выплату, но не воспользовался ею), в этом случает размер выплаты составляет размеру, утвержденному на тот период</t>
  </si>
  <si>
    <t>1.1.3.13**</t>
  </si>
  <si>
    <t xml:space="preserve">Отметка о выполнении мероприя-тия </t>
  </si>
  <si>
    <t>соглашениями с муници-пальными образованиями</t>
  </si>
  <si>
    <t>1.1.2.3*</t>
  </si>
  <si>
    <t>1.1.2.5*</t>
  </si>
  <si>
    <t>1.1.3.3*</t>
  </si>
  <si>
    <t>1.1.6.1*</t>
  </si>
  <si>
    <t>1.1.2.6*</t>
  </si>
  <si>
    <t>1.1.2.10*</t>
  </si>
  <si>
    <t>1.1.2.12*</t>
  </si>
  <si>
    <t>* Отклонение между объемом финансирования предусмотренным государственной программой и уточненной сводной бюджетной росписью составляет 1 251 569,4 тыс. рублей, что связано с  внесением соответствующих изменений в государственную программу в части уточнения объема финансирования из федерального бюджета по пунктам 1.1.2.3, 1.1.2.5, 1.1.3.3, 1.1.6.1 подпрограммы № 1 и пунктам 1.1.2.6, 1.1.2.10, 1.1.2.12 подпрограммы № 3.</t>
  </si>
  <si>
    <t xml:space="preserve">* Фактическая кассовое исполнение по плану реализации (63 503 709,4 тыс. руб), что не соответствует фактическому кассовому исполению, указанному в отчете по финансированию (63 503 489,3 тыс. руб). Отклонение составляет 220,1 тыс. руб, что связанно с возвратом средств в краевой бюджет по мероприятиям пункта 1.1.9.2 на сумму 0,1 тыс. рублей и пункта 1.1.3.13 на сумму 220 тыс. рублей.                                                                                                                                                                                                                                                                                                                                                                                                                                                                                                                                                        **  По мероприятию п. 1.1.3.13  фактический кассовый расход в III квартале составил 4 180,0 тыс. рублей. Субсидия перечислены учреждениям на приобретение автотранспорта в целях осуществления доставки лиц старше 65 лет, проживающих в сельской местности, в медицинские организации в размере 4 400,0 тыс. рублей, однако экономия по результатам конкурсных процедур составила 220,0 тыс. рублей. На отчетную дату кассовый расход по мероприятию составил 4 180,0 тыс. рублей, что соответствует отчету об исполнении финансирования госпрограммы за  2020 г. </t>
  </si>
  <si>
    <t>В 2020 году  приказами министерства труда и социального развития Краснодарского края предоставлена единовременная денежная выплата на приобретение или строительство жилого помещения 41 гражданину из числа ветеранов Великой Отечественной войны, членов семей погибших (умерших) инвалидов и участников Великой Отечественной войны. Из них приобрели жилые помещения 35 граждан за счет средств федерального бюджета, произведено расходов на сумму 58981,860 тыс. рублей.  5 приобрели жилые помещения  за счет средств краевого бюджета, произведено расходов на сумму 8425,980 тыс. рублей.
 1 гражданин не реализовал единовременную денежную выплату за счет краевого бюджета  в связи с наличием срока реализации меры социальной поддержки  - 9 месяцев. Сумма распределенных средств составляет 1685,196 тыс рублей.</t>
  </si>
  <si>
    <t>едениц</t>
  </si>
  <si>
    <t xml:space="preserve">Выплата пособия на ребенка в соответствии с Законом Краснодарского края от 15 декабря 2004 г.3 № 807-КЗ "О пособии на ребенка"    
</t>
  </si>
  <si>
    <t>1.1.9.1.2</t>
  </si>
  <si>
    <t xml:space="preserve">Не выполнение планового показателя связанно с недостаточностью средств на реализаццию мероприятия всвязи с удорожанием цены на закупку специализированных продуктов детского питания </t>
  </si>
  <si>
    <t xml:space="preserve">Выплата осуществляется  по постановлениям главы администрации                                                                                                                                                                                (губернатора) Краснодарского края </t>
  </si>
  <si>
    <t xml:space="preserve">Выплата осуществляется по постановлениям главы администрации (губернатора) Краснодарского края  </t>
  </si>
  <si>
    <t>Отклонение объема профинансированных  средств от объема финансирования, предусмотренного уточненной сводной бюджетной росписью составляет 0,2  тыс. рублей. Экономия сложившаяся по факту выполнения мероприятия</t>
  </si>
  <si>
    <t>Д.А. Ирхин</t>
  </si>
  <si>
    <t xml:space="preserve">Заявительный характер предоставления мер </t>
  </si>
  <si>
    <t>Отклонение объема профинансированных  средств от объема финансирования, предусмотренного уточненной СБР составляет 10 899,4 тыс. рублей.  Остатки по гос. контрактам на исполнение бюджетных  обязательств в 2020 год, возмещения задолженности ФСС(по больничным листам, пособиям по беременности и родам).</t>
  </si>
  <si>
    <t>Отклонение объема профинансированных  средств от объема финансирования, предусмотренного уточненной СБР составляет 6,9  тыс. рублей. Заявительный характер выплаты</t>
  </si>
  <si>
    <t>Отклонение объема профинансированных  средств от объема финансирования, предусмотренного уточненной СБР составляет 949,1 тыс. рублей. Заявительный характер выплаты</t>
  </si>
  <si>
    <t>Отклонение объема профинансированных  средств от объема финансирования, предусмотренного уточненной СБР составляет 155,7 тыс. рублей. Остаток сложился из-за того что размер выплаты расчитывается из фактически предоставленных документов за приобритенные протезно-ортопедические изделия. Заявительный характер выплаты</t>
  </si>
  <si>
    <t xml:space="preserve">Отклонение объема профинансированных  средств от объема финансирования, предусмотренного уточненной СБР составляет 912,7 тыс. рублей. Экономия сложилась из-за того что размер выплаты расчитывается из средней протяженности маршрутов и тарифов установленных на проезд. </t>
  </si>
  <si>
    <t>Отклонение объема профинансированных  средств от объема финансирования, предусмотренного уточненной СБР составляет 0,1 тыс. рублей. Экономия сложилась  по результатм конкурсных процедур.</t>
  </si>
  <si>
    <t>Отклонение объема профинансированных  средств от объема финансирования, предусмотренного уточненной СБР составляет 1 845,6 тыс. рублей. Не полное освоение образовалось в результате оплаты мер соц поддержки сотрудникам согласно фактически предоставленным документам</t>
  </si>
  <si>
    <t>Отклонение объема профинансированных  средств от объема финансирования, предусмотренного уточненной СБР составляет 1 845,7 тыс. рублей.</t>
  </si>
  <si>
    <t xml:space="preserve">Отклонение объема профинансированных  средств от объема финансирования, предусмотренного уточненной СБР составляет 1 598,5 тыс. рублей. </t>
  </si>
  <si>
    <t xml:space="preserve">Отклонение объема профинансированных  средств от объема финансирования, предусмотренного уточненной СБР составляет 1 575,9 тыс. рублей. </t>
  </si>
  <si>
    <t>Отклонение объема профинансированных  средств от объема финансирования, предусмотренного уточненной СБР составляет 72 507,1 тыс. рублей. Остаток сложился в связи с тем, что часть граждан получала выплату не полностью в течение всего отчетного периода, а только с месяца обращения за назначением выплаты.</t>
  </si>
  <si>
    <t>Отклонение объема профинансированных  средств от объема финансирования, предусмотренного уточненной СБР составляет 1 085,2 тыс. рублей. Экономия по выплате командировочных расходов муниципальным служащим, восстановлением средств из ФСС по оплате листов временной нетрудоспособности, а так же уточнением расчетов по налогам.</t>
  </si>
  <si>
    <t>Отклонение объема профинансированных  средств от объема финансирования, предусмотренного уточненной СБР составляет 235,6 тыс. рублей. Экономия  сложилась с учетом периода получения выплаты гражданином  менее 12 месяцев</t>
  </si>
  <si>
    <t>Отклонение объема профинансированных  средств от объема финансирования, предусмотренного уточненной СБР составляет 9 73,3 тыс. рублей .Экономия  сложилась с учетом периода получения выплаты гражданином  менее 12 месяцев</t>
  </si>
  <si>
    <t>Отклонение объема профинансированных  средств от объема финансирования, предусмотренного уточненной СБР составляет 143,5 тыс. рублей. Экономия  сложилась с учетом периода получения выплаты гражданином  менее 12 месяцев</t>
  </si>
  <si>
    <t>Отклонение объема профинансированных  средств от объема финансирования, предусмотренного уточненной СБР составляет 29,8 тыс. рублей. Экономия  сложилась с учетом периода получения выплаты гражданином  менее 12 месяцев</t>
  </si>
  <si>
    <t>Отклонение объема профинансированных  средств от объема финансирования, предусмотренного уточненной сводной бюджетной росписью составляет 1205,3 тыс. рублей. Экономия  сложилась с учетом периода получения выплаты гражданином  менее 12 месяцев</t>
  </si>
  <si>
    <t>Отклонение объема профинансированных  средств от объема финансирования, предусмотренного уточненной СБР составляет 0,1 тыс. рублей. Экономия по результатм конкурсных процедур.</t>
  </si>
  <si>
    <t>Отклонение объема профинансированных  средств от объема финансирования, предусмотренного уточненной СБР составляет 40 631,9 тыс. рублей. Заявительный характер выплаты</t>
  </si>
  <si>
    <t xml:space="preserve"> Остатки по гос. контрактам на исполнение бюджетных  обязательств в 2020 год, возмещения задолженности ФСС(по больничным листам, пособиям по беременности и родам).</t>
  </si>
  <si>
    <t>Остаток сложился в связи с тем, что часть граждан получала выплату не полностью в течение всего отчетного периода, а только с момента назначения выплаты. При определении размера выплаты учитывается размер пенсии заявителя.</t>
  </si>
  <si>
    <t>Экономия  сложилась с учетом периода получения выплаты гражданином  менее 12 месяцев</t>
  </si>
  <si>
    <t xml:space="preserve">Экономия сложилась  по причине заявительного характера предоставления выплат </t>
  </si>
  <si>
    <t xml:space="preserve">Экономия сложилась в связи с экономией. По причине заявительного характера предоставления выплат </t>
  </si>
  <si>
    <t>Экономия сложилась в связи с заявительныйм характером выплаты.</t>
  </si>
  <si>
    <t xml:space="preserve">Экономия  сложилась с учетом периода получения выплаты гражданином  менее 12 месяцев </t>
  </si>
  <si>
    <t>Экономия  сложилась с учетом периода получения выплаты гражданином  менее 12 месяцев и естественной убылью получателей</t>
  </si>
  <si>
    <t>Экономия  сложилась  в связи с получением компенсации  периода получения выплаты гражданином  менее 12 месяце</t>
  </si>
  <si>
    <t xml:space="preserve">Сумма произведенных компенсационных выплат сложилась ниже запланированной в результате предоставления компенсационных сумм разного размера в зависимости от размера уплаченных страховой фирмой </t>
  </si>
  <si>
    <t>Остаток сложился из-за того что размер выплаты расчитывается из фактически предоставленных документов за приобритенные протезно-ортопедические изделия. Заявительный характер выплаты</t>
  </si>
  <si>
    <t xml:space="preserve"> Экономия  сложилась в связи с отсутствием заявлений граждан на получение мер социальной поддержки. </t>
  </si>
  <si>
    <t>Отклонение объема профинансированных  средств от объема финансирования, предусмотренного уточненной СБР составляет 21,6 тыс. рублей. Экономия  сложилась в тем, что стоимость оплаты проезда не фиксированная и зависит от расстояния до места реабилитации, от вида транспорта и от наличия сопровождающего инва-лида, в связи с этим установить точный размер выплаты не представляется возможным.</t>
  </si>
  <si>
    <t>Экономия  сложилась в тем, что стоимость оплаты проезда не фиксированная и зависит от расстояния до места реабилитации, от вида транспорта и от наличия сопровождающего инва-лида, в связи с этим установить точный размер выплаты не представляется возможным.</t>
  </si>
  <si>
    <t xml:space="preserve">Экономия сложилась из-за того что размер выплаты расчитывается из средней протяженности маршрутов и тарифов установленных на проезд. </t>
  </si>
  <si>
    <t xml:space="preserve">Экономия сложилась в связи с тем, что часть граждан получала выплату не полностью в течение всего отчетного периода, а только с месяца обращения за назначением выплаты. </t>
  </si>
  <si>
    <t>Экономия сложившаяся по факту выполнения мероприятия</t>
  </si>
  <si>
    <t>1.1.9.1.2*</t>
  </si>
  <si>
    <t xml:space="preserve">Заявительный характер выплат </t>
  </si>
  <si>
    <t xml:space="preserve"> Заявительный характер выплаты</t>
  </si>
  <si>
    <t>В целях выполнения распоряжения главы администрации (губернатора) Краснодарского края от 06.04.2020 № 83-р, в государственных бюджетных (автономных) учреждениях Краснодарского края подведомственных министерству труда и социального развития Краснодарского края приостановлено осуществление закупок товаров, работ, услуг, для обеспечения государственных нужд (по закупкам, источником финансового обеспечения которых являются средства краевого бюджета), за исключением закупок, осуществляемых в рамках реализации региональных проектов, мероприятий, связанных с профилактикой и устранением последствий распространения новой коронавирусной инфекцией (COVID-2019). Обучение граждан проводилось в дистанционном режиме, в рамках экономии денежные средства не тратились.</t>
  </si>
  <si>
    <t xml:space="preserve">Экономия сложилась из-за того, что размеры выплат по данному мероприятию различны и подавляющее большинство граждан обратилось за выплатой меньшего размера. Заявительный порядок обращения. </t>
  </si>
  <si>
    <t>Остаток сложился в связи  с фактической численностью получателей выплат,  по сравнению с запланированной</t>
  </si>
  <si>
    <t xml:space="preserve">Первый заместитель министра                 </t>
  </si>
  <si>
    <t>Тришкин Данил Олегович</t>
  </si>
  <si>
    <t xml:space="preserve"> +7 (861) 259-22-97</t>
  </si>
  <si>
    <t>Тришкин Данил Олегович                                       +7 (861) 259-22-97</t>
  </si>
  <si>
    <t>Отклонение объема профинансированных  средств от объема финансирования, предусмотренного уточненной СБРсоставляет 4 263,5 тыс. рублей. Остаток   сложился с учетом периода получения выплаты гражданином  менее 12 месяцев</t>
  </si>
  <si>
    <t>Отклонение объема профинансированных  средств от объема финансирования, предусмотренного уточненной СБР составляет 23 210,5тыс. рублей. Остаток сложился в связи с отсутствием заявлений граждан на получение мер соци-альной поддержки. По причине заявительного характера предоставления выплат перераспределение средств на другие мероприятия государственной программы являлось нецелесообразным</t>
  </si>
  <si>
    <t>Отклонение объема профинансированных  средств от объема финансирования, предусмотренного уточненной СБРсоставляет 67 007,5 тыс. рублей. Экономия  сложилась в связи с тем, что в Краснодарском крае сохранен авансовый платеж предоставления компенсации на оплату жилого помещения и коммунальных услуг в текущем месяце за текущий месяц, компенсация на коммунальные услуги предоставляются исходя из нормативов потребления коммунальных услуг</t>
  </si>
  <si>
    <t>Отклонение объема профинансированных  средств от объема финансирования, предусмотренного уточненной СБР составляет 88 852,4  тыс. рублей. Экономия  сложилась в связи с тем, что в Краснодарском крае сохранен авансовый платеж предоставления компенсации на оплату жилого помещения и коммунальных услуг в текущем месяце за текущий месяц, компенсация на коммунальные услуги предоставляются исходя из нормативов потребления коммунальных услуг</t>
  </si>
  <si>
    <t>Отклонение объема профинансированных  средств от объема финансирования, предусмотренного уточненной сводной бюджетной росписью составляет 543,4 тыс. рублей. Экономия  сложилась с учетом периода получения выплаты гражданином  менее 12 месяцев</t>
  </si>
  <si>
    <t xml:space="preserve">Отклонение объема профинансированных  средств от объема финансирования, предусмотренного уточненной СБР составляет 5,4  тыс. рублей. Экономия сложилась по факту выполненных работ, оказанных услуг </t>
  </si>
  <si>
    <t>Отклонение объема профинансированных  средств от объема финансирования, предусмотренного уточненной СБР составляет 217 тыс. рублей. Экономия  сложилась в результате того, что сумма произведенных компенсационных выплат сложилась ниже запланированной в результате предоставления ком-пенсационных сумм разного размера в зависимости от размера уплаченных страховой фирмой</t>
  </si>
  <si>
    <t>Отклонение объема профинансированных  средств от объема финансирования, предусмотренного уточненной СБР составляет 1295,3 тыс. рублей. Остаток сложился по факту выполнения мероприятия (размеры выплат различны для указанных категорий в соответствии со статьей 7 Закона Краснодарского края «О статусе Героев Кубани и Героев труда Кубани» от 5 мая 2006 г.);</t>
  </si>
  <si>
    <t>Отклонение объема профинансированных  средств от объема финансирования, предусмотренного уточненной СБР составляет 6 361,3 тыс. рублей. Заявительный характер,</t>
  </si>
  <si>
    <t>Отклонение объема профинансированных  средств от объема финансирования, предусмотренного уточненной СБР составляет 12 198,2 тыс. рублей. Остаток сложился с учетом периода получения выплаты гражданином  менее 12 месяце</t>
  </si>
  <si>
    <t>Отклонение объема профинансированных  средств от объема финансирования, предусмотренного уточненной СБР составляет 16 043,6 тыс. рублей. Экономия сложилась в связи с тем, что часть граждан получала выплату не полностью в течение всего отчетного периода (выплачивается ежеквартально), а с месяца обращения за назначением вы-платы</t>
  </si>
  <si>
    <t>Отклонение объема профинансированных  средств от объема финансирования, предусмотренного уточненной сводной бюджетной росписью составляет 686,2 тыс. рублей. Экономия сложилась в связи с выплатой пособий большему количеству граждан в меньшей сумме в зависимости от возраста ребенка</t>
  </si>
  <si>
    <t xml:space="preserve"> сложился в результате несоответствия поставщиков социальных услуг требованиям квалификации, опыта оказания услуг, отсутствия необходимых ресурсов, а также в связи с введением огра-ничительных мероприятий</t>
  </si>
  <si>
    <t>Экономия сложилась по факту выполнения мероприятия (фактическая перевозка)</t>
  </si>
  <si>
    <t>Экономия по выплате командировочных расходов муниципальным служащим, восстановлением средств из ФСС по оплате листов временной нетрудоспособности, а так же уточнением расчетов по налогам.</t>
  </si>
  <si>
    <t xml:space="preserve"> Экономия по выплате командировочных расходов муниципальным служащим, восстановлением средств из ФСС по оплате листов временной нетрудоспособности, а так же уточнением расчетов по налогам.</t>
  </si>
  <si>
    <t xml:space="preserve"> Экономия сложилась в связи с тем, что часть граждан получала выплату не полностью в течение всего отчетного периода, а с месяца обращения за назначением выплаты</t>
  </si>
  <si>
    <t>Экономия средств сложилась в связи с тем, что часть граждан получала выплату не полностью в течение всего отчетного периода, а с месяца обращения за назначением выплаты</t>
  </si>
  <si>
    <t>Экономия сложилась в связи с тем, что часть граждан получала выплату не полностью в течение всего отчетного периода, а с месяца обращения за назначением выплаты</t>
  </si>
  <si>
    <t>Экономия сложилась в связи с выплатой средств материнского семейного капитала большему количеству граждан в меньшей сумме в зависимости от расходов на оплату содержания ребенка в детском дошкольном учреждении, учебы в высшем учебном заведении</t>
  </si>
  <si>
    <t>Экономия сложилась в связи с выплатой пособий большему количеству граждан в меньшей сумме в зависимости от возраста ребенка</t>
  </si>
  <si>
    <t xml:space="preserve"> Экономия сложилась в связи с тем, что часть граждан получала выплату не полностью в течение всего отчетного периода (выплачивается ежеквартально), а с месяца обращения за назначением вы-платы</t>
  </si>
  <si>
    <t>Остаток в сумме 41,5 тыс. рублей сложился в связи с недостаточностью средств выплаты единовременного денежного пособия усыновителям.</t>
  </si>
  <si>
    <t>Сумма произведенных  выплат сложиласть в связи с тем, что часть граждан получала выплату не полностью в течение всего отчетного периода, а с месяца обращения за назначением вы-платы;</t>
  </si>
  <si>
    <t>Остаток сложился в связи с отсутствием заявлений граждан на получение мер социальной поддержки, в связи с неполным сроком получения пособия</t>
  </si>
  <si>
    <t>Остаток сложился в связи с тем, что размер выплаты зависит от количества детей в семье.</t>
  </si>
  <si>
    <t xml:space="preserve"> Экономия сложилась в связи с заявительным характером выплаты</t>
  </si>
  <si>
    <t xml:space="preserve"> Остаток сложился с учетом периода получения выплаты гражданином  менее 12 месяце</t>
  </si>
  <si>
    <t>Что связано с оптимизацией расходов в целях реализации мер по обеспечению сбалансированности краевого бюджета, в соответствии с распоряжением 83-р от 06.04.2020 г. и отсутствием возможности перераспределения сло-жившейся экономии средств между учреждениями</t>
  </si>
  <si>
    <t xml:space="preserve"> Что связано с оптимизацией расходов в целях реализации мер по обеспечению сбалансированности краевого бюджета, в соответствии с распоряжением 83-р от 06.04.2020 г. и отсутствием возможности перераспределения сло-жившейся экономии средств между учреждениями  </t>
  </si>
  <si>
    <t xml:space="preserve"> Остаток средств сложился в связи с тем, что негосударственные поставщики социальных услуг оказывают только отдельные услуги в форме социального обслуживания на дому и в полустационарной форме и у них отсутствуют необходимые ресурсы, квалифицированные работники, опыт оказания услуг в сфере социального обслуживания, а также в связи с введением ограничительных мероприятий связанных с распрорстранением новой коронавирусной инфекции</t>
  </si>
  <si>
    <t xml:space="preserve"> Остаток сложился в связи с отсутствием заявлений граждан на получение мер соци-альной поддержки, а также в связи с расторжением договоров из-за смерти опекаемых. В результате чего перераспределение средств на другие меро-приятия государственной программы являлось нецелесообразным</t>
  </si>
  <si>
    <t xml:space="preserve"> Не полное освоение образовалось в результате оплаты мер соц поддержки сотрудникам согласно фактически предоставленным документам</t>
  </si>
  <si>
    <t>Экономия сложилась  по результатм конкурсных процедур.</t>
  </si>
  <si>
    <t xml:space="preserve">В целях выполнения распоряжения главы администрации (губернатора) Краснодарского края от 06.04.2020 № 83-р, в государственных бюджетных (автономных) учреждениях Краснодарского края подведомственных министерству труда и социального развития Краснодарского края приостановлено осуществление закупок товаров, работ, услуг, для обеспечения государственных нужд (по закупкам, источником финансового обеспечения которых являются средства краевого бюджета), за исключением закупок, осуществляемых в рамках реализации региональных проектов, мероприятий, связанных с профилактикой и устранением последствий распространения новой коронавирусной инфекцией (COVID-2019). </t>
  </si>
  <si>
    <t xml:space="preserve">Отклонение объема профинансированных  средств от объема финансирования,  предусмотренного уточненной СБР составляет 609,2 тыс. рублей. остаток сложилась из-за того, что размеры выплат по данному мероприятию различны и подавляющее большинство граждан обратилось за выплатой меньшего размера. Заявительный порядок обращения. </t>
  </si>
  <si>
    <t>Отклонение объема профинансированных  средств от объема финансирования, предусмотренного уточненной СБР составляет 407 781,6 тыс. рублей. Экономия сложиласть в связи с тем, что часть граждан получала выплату не полностью в течение всего отчетного периода, а с месяца обращения за назначением выплаты;</t>
  </si>
  <si>
    <t>Отклонение объема профинансированных  средств от объема финансирования, предусмотренного уточненной СБР составляет 40 787,0 тыс. рублей.  Экономия  сложилась с учетом периода получения выплаты гражданином  менее 12 месяцев</t>
  </si>
  <si>
    <t>Отклонение объема профинансированных  средств от объема финансирования, предусмотренного уточненной СБР составляет 72 517,3 тыс. рублей. Экономия  сложилась с учетом периода получения выплаты гражданином  менее 12 месяцев</t>
  </si>
  <si>
    <t>Отклонение объема профинансированных  средств от объема финансирования, предусмотренного уточненной СБР составляет 3 147,4 тыс. рублей. Экономия  сложилась с учетом периода получения выплаты гражданином  менее 12 месяцев</t>
  </si>
  <si>
    <t>Отклонение объема профинансированных  средств от объема финансирования, предусмотренного уточненной СБР составляет 4 043,5 тыс. рублей.  Экономия  сложилась с учетом периода получения выплаты гражданином  менее 12 месяцев</t>
  </si>
  <si>
    <t>Отклонение объема профинансированных  средств от объема финансирования, предусмотренного уточненной СБР составляет 7 523,9 тыс. рублей. Остаток по выплате командировочных расходов муниципальным служащим, восстановлением средств из ФСС по оплате листов временной нетрудоспособности, а так же уточнением расчетов по налогам.</t>
  </si>
  <si>
    <t>Отклонение объема профинансированных  средств от объема финансирования, предусмотренного уточненной СБР составляет 695,9  тыс. рублей. Остаток сложилась по факту выполнения мероприятия (фактическая перевозка)</t>
  </si>
  <si>
    <t>Остаток в сумме 8 152,7 тыс. рублей сложился в связи с тем, что реализация мероприятия в 2020 году не состоялась в связи с введением на территроии Краснодарского края ограничительных мероприятий по предотвращению распространения коронавирусной инфекци</t>
  </si>
  <si>
    <t>Отклонение объема профинансированных  средств от объема финансирования, предусмотренного уточненной СБР составляет 20 496,4тыс. рублей. Остаток сложился в связи заявительным порядоком обращения.</t>
  </si>
  <si>
    <t>Отклонение объема профинансированных  средств от объема финансирования, предусмотренного уточненной СБР составляет 28 874,4 тыс. рублей. Остаток сложился в связи с отсутствием заявлений граждан на получение мер социальной поддержки</t>
  </si>
  <si>
    <t>Отклонение объема профинансированных  средств от объема финансирования, предусмотренного уточненной СБР составляет 182,5  тыс. рублей. Остаток сложился по факту выполнения мероприятия.</t>
  </si>
  <si>
    <t>Отклонение объема профинансированных  средств от объема финансирования, предусмотренного уточненной СБР составляет 41,5 тыс. рублей. Остаток в сумме 41,5 тыс. рублей. Экономия сложилась в результате выполнения мероприятия.</t>
  </si>
  <si>
    <t xml:space="preserve">Отклонение объема профинансированных  средств от объема финансирования, предусмотренного уточненной СБР составляет 380,5 nыс. рублей. Остаток сложился в связи с отсутствием заявлений граждан на получение мер социальной поддержки. </t>
  </si>
  <si>
    <t>Отклонение объема профинансированных  средств от объема финансирования, предусмотренного уточненной СБР составляет 29 697,8 тыс. рублей. Остаток сложился в связи с тем, что часть граждан получала выплату не полностью в течение всего отчетного периода, а только с месяца обращения за назначением выплаты.</t>
  </si>
  <si>
    <t>Отклонение объема профинансированных  средств от объема финансирования, предусмотренного уточненной СБР составляет 5 913,2 тыс. рублей. Экономия сложился в связи с тем, что размер выплат зависит от количества назначенных единовременных пособий  женам военнослужащих, а также часть обратившихся граждан получала выплату не полностью в течение всего отчетного периода, а только с месяца обращения за назначением выплаты на период прохождения военной службы.</t>
  </si>
  <si>
    <t>Отклонение объема профинансированных  средств от объема финансирования, предусмотренного уточненной СБР составляет 187 155,1 тыс. рублей. Экономия сложилась в связи с тем, что размер выплаты зависит от количества детей в семье.</t>
  </si>
  <si>
    <t xml:space="preserve">Отклонение объема профинансированных  средств от объема финансирования, предусмотренного уточненной СБР составляет 388,4 тыс. рублей. Экономия сложилась в связи с различным размером предоставления выплаты и ее индексацией.. </t>
  </si>
  <si>
    <t>Отклонение объема профинансированных  средств от объема финансирования, предусмотренного уточненной СБРсоставляет 1 922,5 тыс. рублей. Экономия сложилась в связи с тем, что в рамках реализации мероприятия выплата предоставляется отдельным категориям граждан, для каждой категории, установленной в соответствии с законодательством. За предоставлением выплаты меньшего размера обратилось большее количество получателей. Заявительный характер выплаты.</t>
  </si>
  <si>
    <t>367 фз п. 20</t>
  </si>
  <si>
    <t xml:space="preserve">Отклонение объема профинансированных  средств от объема финансирования, предусмотренного уточненной СБР составляет 8 226,9 тыс. рублей Экономия сложилась в связи различным размером сумм регионального материнского капитала. </t>
  </si>
  <si>
    <t xml:space="preserve">Отклонение объема профинансированных  средств от объема финансирования, предусмотренного уточненной СБР составляет 30 590,5 тыс. рублей. Экономия сложилась по результатам конкурсных процедур. Отсутствовала возможность перераспределения денежных средств в соответствии с распоряжением 83-р от 06.04.2020 г. </t>
  </si>
  <si>
    <t xml:space="preserve">Отклонение объема профинансированных  средств от объема финансирования, предусмотренного уточненной СБР составляет 30 061,9 тыс. рублей. Экономия сложилась по результатам конкурсных процедур. Отсутствовала возможность перераспределения денежных средств в соответствии с распоряжением 83-р от 06.04.2020 г. </t>
  </si>
  <si>
    <t xml:space="preserve">Отклонение объема профинансированных  средств от объема финансирования, предусмотренного уточненной СБР Экономия составляет 4 455,4 тыс. рублей. Экономия сложилась по результатам конкурсных процедур. Отсутствовала возможность перераспределения денежных средств в соответствии с распоряжением 83-р от 06.04.2020 г. </t>
  </si>
  <si>
    <t>Выделены 212 должностей, однако 4 должности сегодня остаются вакантными. Ведется поиск кандидатур</t>
  </si>
  <si>
    <t xml:space="preserve">Отклонение объема профинансированных  средств от объема финансирования, предусмотренного уточненной СБР составляет 3 174,4 тыс. рублей.  Экономия сложилась по результатам конкурсных процедур. Отсутствовала возможность перераспределения денежных средств в соответствии с распоряжением 83-р от 06.04.2020 г. </t>
  </si>
  <si>
    <t xml:space="preserve">Отклонение объема профинансированных  средств от объема финансирования, предусмотренного уточненной СБР составляет 6 301,3 тыс. рублей. Экономия сложилась по результатам конкурсных процедур. Отсутствовала возможность перераспределения денежных средств в соответствии с распоряжением 83-р от 06.04.2020 г. </t>
  </si>
  <si>
    <t>Отклонение объема профинансированных  средств от объема финансирования, предусмотренного уточненной СБР составляет 134,2 тыс. рублей  Остаток сложился в связи с расторжением договоров из-за смерти опекаемых.</t>
  </si>
  <si>
    <t>Отклонение объема профинансированных  средств от объема финансирования, предусмотренного уточненной СБР составляет 10 111,2  тыс. рублей, из них 8 426,0 тыс. рублей в связи с заявительным порядком предоставления выплаты, 1 685,2 тыс. рублей в связи с нереализацией 1 гражданином единовременной денежной выплаты.</t>
  </si>
  <si>
    <t>Отклонение объема профинансированных  средств от объема финансирования, предусмотренного уточненной СБР составляет 13 033,4  тыс. рублей. Остаток средств сложился в связи с отсутствием заключенных соглашений на оказание данной меры социальной поддержки (отсутствие претендентов)</t>
  </si>
  <si>
    <t>Выделены 525 должностей, однако 41 должности сегодня остаются вакантными. Ведется поиск кандидатур</t>
  </si>
  <si>
    <t>Отклонение объема профинансированных  средств от объема финансирования, предусмотренного уточненной СБР составляет 12 665,3, тыс. рублей. Остаток по выплате командировочных расходов муниципальным служащим, восстановлением средств из ФСС по оплате листов временной нетрудоспособности, а так же уточнением расчетов по налогам.</t>
  </si>
  <si>
    <t>Отклонение объема профинансированных  средств от объема финансирования, предусмотренного уточненной СБР составляет 62 676,4 тыс. рублейЭкономия в сумме 62 676,4 тыс. рублей сложилась в результате заявительного характера выплаты. Выплата назначается ветеранам труда, ветера-нам военной службы, имеющим удостоверение установленного образца, жертвам политических репрессий - справку о реабилитации либо о призна-нии пострадавшим от политических репрессий: с 1 января 2019 г. по дости-жении возраста 60 и 55 лет (мужчины и женщины соответственно), независи-мо от факта назначения пенсии по линии органов Пенсионного фонда Рос-сийской Федерации (при наличии права на ежемесячную денежную выплату по нескольким основаниям предоставляется одна ежемесячная денежная вы-плата по выбору (например, ветеранам труда при установлении инвалидно-сти предоставление ежемесячной денежной выплаты как ветерану труда пре-кращается);</t>
  </si>
  <si>
    <t>Начальник отдела координации национальных проектов и государственных программ</t>
  </si>
  <si>
    <t>2.3.7</t>
  </si>
  <si>
    <t>2.3.6</t>
  </si>
  <si>
    <t>2.3.5</t>
  </si>
  <si>
    <t>2.3.4</t>
  </si>
  <si>
    <t>2.3.3</t>
  </si>
  <si>
    <t>2.3.2</t>
  </si>
  <si>
    <t>О.Г. Лычагина</t>
  </si>
  <si>
    <t>расчитывается Росстатом ежегодно, 1-я оценка (предварительная) -29 апреля; 2-я оценка (уточненная) - 15 августа;
3-я оценка - 29 декабря.</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</si>
</sst>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0.0"/>
    <numFmt numFmtId="165" formatCode="0.0"/>
    <numFmt numFmtId="166" formatCode="0.000"/>
    <numFmt numFmtId="167" formatCode="#,##0.000"/>
  </numFmts>
  <fonts count="50" x14ac:knownFonts="1">
    <font>
      <sz val="11"/>
      <color theme="1"/>
      <name val="Calibri"/>
      <family val="2"/>
      <scheme val="minor"/>
    </font>
    <font>
      <sz val="48"/>
      <name val="Times New Roman"/>
      <family val="1"/>
      <charset val="204"/>
    </font>
    <font>
      <sz val="22"/>
      <name val="Calibri"/>
      <family val="2"/>
      <charset val="204"/>
      <scheme val="minor"/>
    </font>
    <font>
      <sz val="30"/>
      <name val="Calibri"/>
      <family val="2"/>
      <charset val="204"/>
      <scheme val="minor"/>
    </font>
    <font>
      <u/>
      <sz val="48"/>
      <name val="Times New Roman"/>
      <family val="1"/>
      <charset val="204"/>
    </font>
    <font>
      <sz val="28"/>
      <name val="Times New Roman"/>
      <family val="1"/>
      <charset val="204"/>
    </font>
    <font>
      <b/>
      <sz val="28"/>
      <name val="Times New Roman"/>
      <family val="1"/>
      <charset val="204"/>
    </font>
    <font>
      <sz val="28"/>
      <name val="Calibri"/>
      <family val="2"/>
      <charset val="204"/>
      <scheme val="minor"/>
    </font>
    <font>
      <i/>
      <sz val="28"/>
      <name val="Times New Roman"/>
      <family val="1"/>
      <charset val="204"/>
    </font>
    <font>
      <i/>
      <vertAlign val="superscript"/>
      <sz val="28"/>
      <name val="Times New Roman"/>
      <family val="1"/>
      <charset val="204"/>
    </font>
    <font>
      <b/>
      <sz val="36"/>
      <name val="Times New Roman"/>
      <family val="1"/>
      <charset val="204"/>
    </font>
    <font>
      <sz val="36"/>
      <name val="Times New Roman"/>
      <family val="1"/>
      <charset val="204"/>
    </font>
    <font>
      <b/>
      <sz val="30"/>
      <name val="Calibri"/>
      <family val="2"/>
      <charset val="204"/>
      <scheme val="minor"/>
    </font>
    <font>
      <sz val="22"/>
      <name val="Times New Roman"/>
      <family val="1"/>
      <charset val="204"/>
    </font>
    <font>
      <sz val="24"/>
      <name val="Times New Roman"/>
      <family val="1"/>
      <charset val="204"/>
    </font>
    <font>
      <sz val="20"/>
      <name val="Times New Roman"/>
      <family val="1"/>
      <charset val="204"/>
    </font>
    <font>
      <sz val="14"/>
      <color indexed="8"/>
      <name val="Times New Roman"/>
      <family val="1"/>
      <charset val="204"/>
    </font>
    <font>
      <sz val="12"/>
      <color indexed="8"/>
      <name val="Times New Roman"/>
      <family val="1"/>
      <charset val="204"/>
    </font>
    <font>
      <sz val="10"/>
      <color rgb="FF000000"/>
      <name val="Times New Roman"/>
      <family val="1"/>
      <charset val="204"/>
    </font>
    <font>
      <sz val="10"/>
      <color theme="1"/>
      <name val="Times New Roman"/>
      <family val="1"/>
      <charset val="204"/>
    </font>
    <font>
      <sz val="10"/>
      <color indexed="8"/>
      <name val="Times New Roman"/>
      <family val="1"/>
      <charset val="204"/>
    </font>
    <font>
      <b/>
      <sz val="10"/>
      <color indexed="8"/>
      <name val="Times New Roman"/>
      <family val="1"/>
      <charset val="204"/>
    </font>
    <font>
      <sz val="10"/>
      <name val="Times New Roman"/>
      <family val="1"/>
      <charset val="204"/>
    </font>
    <font>
      <sz val="16"/>
      <color indexed="8"/>
      <name val="Times New Roman"/>
      <family val="1"/>
      <charset val="204"/>
    </font>
    <font>
      <sz val="10"/>
      <name val="Arial Cyr"/>
      <charset val="204"/>
    </font>
    <font>
      <sz val="12"/>
      <name val="Arial Cyr"/>
      <charset val="204"/>
    </font>
    <font>
      <sz val="12"/>
      <name val="Times New Roman"/>
      <family val="1"/>
      <charset val="204"/>
    </font>
    <font>
      <sz val="14"/>
      <name val="Times New Roman"/>
      <family val="1"/>
      <charset val="204"/>
    </font>
    <font>
      <sz val="14"/>
      <color theme="0"/>
      <name val="Times New Roman"/>
      <family val="1"/>
      <charset val="204"/>
    </font>
    <font>
      <u/>
      <sz val="10"/>
      <color indexed="12"/>
      <name val="Arial Cyr"/>
      <charset val="204"/>
    </font>
    <font>
      <sz val="16"/>
      <name val="Times New Roman"/>
      <family val="1"/>
      <charset val="204"/>
    </font>
    <font>
      <b/>
      <sz val="14"/>
      <name val="Times New Roman"/>
      <family val="1"/>
      <charset val="204"/>
    </font>
    <font>
      <b/>
      <sz val="16"/>
      <name val="Times New Roman"/>
      <family val="1"/>
      <charset val="204"/>
    </font>
    <font>
      <b/>
      <sz val="12"/>
      <name val="Arial Cyr"/>
      <charset val="204"/>
    </font>
    <font>
      <sz val="10"/>
      <name val="Arial"/>
      <family val="2"/>
      <charset val="204"/>
    </font>
    <font>
      <sz val="18"/>
      <name val="Times New Roman"/>
      <family val="1"/>
      <charset val="204"/>
    </font>
    <font>
      <sz val="14"/>
      <color theme="1"/>
      <name val="Calibri"/>
      <family val="2"/>
      <charset val="204"/>
      <scheme val="minor"/>
    </font>
    <font>
      <sz val="32"/>
      <color theme="1"/>
      <name val="Calibri"/>
      <family val="2"/>
      <scheme val="minor"/>
    </font>
    <font>
      <sz val="32"/>
      <name val="Calibri"/>
      <family val="2"/>
      <scheme val="minor"/>
    </font>
    <font>
      <sz val="36"/>
      <color theme="1"/>
      <name val="Times New Roman"/>
      <family val="1"/>
      <charset val="204"/>
    </font>
    <font>
      <sz val="11"/>
      <color theme="1"/>
      <name val="Calibri"/>
      <family val="2"/>
      <scheme val="minor"/>
    </font>
    <font>
      <sz val="14"/>
      <name val="Arial Cyr"/>
      <charset val="204"/>
    </font>
    <font>
      <sz val="14"/>
      <color theme="1"/>
      <name val="Calibri"/>
      <family val="2"/>
      <scheme val="minor"/>
    </font>
    <font>
      <sz val="48"/>
      <color theme="1"/>
      <name val="Times New Roman"/>
      <family val="1"/>
      <charset val="204"/>
    </font>
    <font>
      <sz val="28"/>
      <color rgb="FFFF0000"/>
      <name val="Times New Roman"/>
      <family val="1"/>
      <charset val="204"/>
    </font>
    <font>
      <sz val="36"/>
      <color theme="1"/>
      <name val="Calibri"/>
      <family val="2"/>
      <scheme val="minor"/>
    </font>
    <font>
      <sz val="16"/>
      <name val="Calibri"/>
      <family val="2"/>
      <charset val="204"/>
      <scheme val="minor"/>
    </font>
    <font>
      <sz val="44"/>
      <color theme="1"/>
      <name val="Times New Roman"/>
      <family val="1"/>
      <charset val="204"/>
    </font>
    <font>
      <sz val="72"/>
      <name val="Times New Roman"/>
      <family val="1"/>
      <charset val="204"/>
    </font>
    <font>
      <sz val="28"/>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24" fillId="0" borderId="0"/>
    <xf numFmtId="0" fontId="29" fillId="0" borderId="0" applyNumberFormat="0" applyFill="0" applyBorder="0" applyAlignment="0" applyProtection="0">
      <alignment vertical="top"/>
      <protection locked="0"/>
    </xf>
    <xf numFmtId="0" fontId="34" fillId="0" borderId="0"/>
    <xf numFmtId="44" fontId="40" fillId="0" borderId="0" applyFont="0" applyFill="0" applyBorder="0" applyAlignment="0" applyProtection="0"/>
  </cellStyleXfs>
  <cellXfs count="325">
    <xf numFmtId="0" fontId="0" fillId="0" borderId="0" xfId="0"/>
    <xf numFmtId="0" fontId="2" fillId="2" borderId="0" xfId="0" applyFont="1" applyFill="1" applyBorder="1"/>
    <xf numFmtId="0" fontId="3" fillId="2" borderId="0" xfId="0" applyFont="1" applyFill="1" applyBorder="1"/>
    <xf numFmtId="0" fontId="5" fillId="2" borderId="0" xfId="0" applyFont="1" applyFill="1" applyBorder="1" applyAlignment="1">
      <alignment horizontal="center" vertical="top"/>
    </xf>
    <xf numFmtId="0" fontId="6" fillId="2" borderId="0" xfId="0" applyFont="1" applyFill="1" applyBorder="1" applyAlignment="1">
      <alignment horizontal="left" vertical="top"/>
    </xf>
    <xf numFmtId="0" fontId="5" fillId="2" borderId="0" xfId="0" applyFont="1" applyFill="1" applyBorder="1" applyAlignment="1">
      <alignment horizontal="left" vertical="top"/>
    </xf>
    <xf numFmtId="0" fontId="7" fillId="2" borderId="0" xfId="0" applyFont="1" applyFill="1" applyBorder="1" applyAlignment="1">
      <alignment horizontal="center" vertical="top"/>
    </xf>
    <xf numFmtId="165" fontId="5" fillId="2" borderId="1" xfId="0" applyNumberFormat="1" applyFont="1" applyFill="1" applyBorder="1" applyAlignment="1">
      <alignment horizontal="center" vertical="top" textRotation="90" wrapText="1"/>
    </xf>
    <xf numFmtId="49" fontId="5" fillId="2" borderId="1" xfId="0" applyNumberFormat="1" applyFont="1" applyFill="1" applyBorder="1" applyAlignment="1">
      <alignment horizontal="center" vertical="top"/>
    </xf>
    <xf numFmtId="49" fontId="3" fillId="2" borderId="0" xfId="0" applyNumberFormat="1" applyFont="1" applyFill="1" applyBorder="1"/>
    <xf numFmtId="0" fontId="6" fillId="2" borderId="1" xfId="0" applyFont="1" applyFill="1" applyBorder="1" applyAlignment="1">
      <alignment horizontal="center" vertical="top"/>
    </xf>
    <xf numFmtId="0" fontId="6" fillId="2" borderId="1" xfId="0" applyFont="1" applyFill="1" applyBorder="1" applyAlignment="1">
      <alignment horizontal="left" vertical="top" wrapText="1"/>
    </xf>
    <xf numFmtId="164" fontId="2" fillId="2" borderId="0" xfId="0" applyNumberFormat="1" applyFont="1" applyFill="1" applyBorder="1"/>
    <xf numFmtId="165" fontId="3" fillId="2" borderId="0" xfId="0" applyNumberFormat="1" applyFont="1" applyFill="1" applyBorder="1"/>
    <xf numFmtId="49" fontId="6" fillId="2" borderId="1" xfId="0" applyNumberFormat="1" applyFont="1" applyFill="1" applyBorder="1" applyAlignment="1">
      <alignment horizontal="center" vertical="top" wrapText="1"/>
    </xf>
    <xf numFmtId="2" fontId="6" fillId="2" borderId="1" xfId="0" applyNumberFormat="1" applyFont="1" applyFill="1" applyBorder="1" applyAlignment="1">
      <alignment horizontal="center" vertical="top"/>
    </xf>
    <xf numFmtId="2" fontId="6" fillId="2" borderId="1" xfId="0" applyNumberFormat="1" applyFont="1" applyFill="1" applyBorder="1" applyAlignment="1">
      <alignment horizontal="left" vertical="top"/>
    </xf>
    <xf numFmtId="0" fontId="12" fillId="2" borderId="0" xfId="0" applyFont="1" applyFill="1" applyBorder="1"/>
    <xf numFmtId="0" fontId="5" fillId="2" borderId="1" xfId="0" applyFont="1" applyFill="1" applyBorder="1" applyAlignment="1">
      <alignment vertical="top"/>
    </xf>
    <xf numFmtId="0" fontId="3" fillId="2" borderId="1" xfId="0" applyFont="1" applyFill="1" applyBorder="1"/>
    <xf numFmtId="0" fontId="3" fillId="2" borderId="0" xfId="0" applyFont="1" applyFill="1" applyBorder="1" applyAlignment="1">
      <alignment horizontal="center"/>
    </xf>
    <xf numFmtId="0" fontId="3" fillId="2" borderId="3" xfId="0" applyFont="1" applyFill="1" applyBorder="1"/>
    <xf numFmtId="0" fontId="3" fillId="2" borderId="4" xfId="0" applyFont="1" applyFill="1" applyBorder="1"/>
    <xf numFmtId="0" fontId="3" fillId="2" borderId="0" xfId="0" applyFont="1" applyFill="1" applyBorder="1" applyAlignment="1">
      <alignment vertical="top"/>
    </xf>
    <xf numFmtId="0" fontId="6" fillId="2" borderId="1" xfId="0" applyFont="1" applyFill="1" applyBorder="1" applyAlignment="1">
      <alignment horizontal="left" vertical="top"/>
    </xf>
    <xf numFmtId="0" fontId="3" fillId="2" borderId="0" xfId="0" applyFont="1" applyFill="1" applyBorder="1" applyAlignment="1">
      <alignment vertical="center"/>
    </xf>
    <xf numFmtId="0" fontId="3" fillId="2" borderId="0" xfId="0" applyFont="1" applyFill="1" applyBorder="1" applyAlignment="1">
      <alignment horizontal="center" vertical="top"/>
    </xf>
    <xf numFmtId="0" fontId="13" fillId="2" borderId="0" xfId="0" applyFont="1" applyFill="1" applyBorder="1" applyAlignment="1">
      <alignment horizontal="center" vertical="top"/>
    </xf>
    <xf numFmtId="0" fontId="15" fillId="2" borderId="0" xfId="0" applyFont="1" applyFill="1" applyBorder="1" applyAlignment="1">
      <alignment horizontal="left" vertical="top"/>
    </xf>
    <xf numFmtId="49" fontId="13" fillId="2" borderId="0" xfId="0" applyNumberFormat="1" applyFont="1" applyFill="1" applyBorder="1" applyAlignment="1">
      <alignment horizontal="center" vertical="top" wrapText="1"/>
    </xf>
    <xf numFmtId="49" fontId="13" fillId="2" borderId="0" xfId="0" applyNumberFormat="1" applyFont="1" applyFill="1" applyBorder="1" applyAlignment="1">
      <alignment horizontal="left" vertical="top" wrapText="1"/>
    </xf>
    <xf numFmtId="0" fontId="13" fillId="2" borderId="0" xfId="0" applyFont="1" applyFill="1" applyBorder="1" applyAlignment="1">
      <alignment horizontal="left" vertical="top"/>
    </xf>
    <xf numFmtId="0" fontId="2" fillId="2" borderId="0" xfId="0" applyFont="1" applyFill="1" applyBorder="1" applyAlignment="1">
      <alignment horizontal="center" vertical="top"/>
    </xf>
    <xf numFmtId="0" fontId="1" fillId="2" borderId="0" xfId="0" applyFont="1" applyFill="1" applyBorder="1" applyAlignment="1">
      <alignment horizontal="left" vertical="top"/>
    </xf>
    <xf numFmtId="0" fontId="17" fillId="2" borderId="0" xfId="0" applyFont="1" applyFill="1" applyAlignment="1">
      <alignment horizontal="center" vertical="top"/>
    </xf>
    <xf numFmtId="0" fontId="17" fillId="2" borderId="0" xfId="0" applyFont="1" applyFill="1" applyAlignment="1">
      <alignment horizontal="center"/>
    </xf>
    <xf numFmtId="164" fontId="17" fillId="2" borderId="0" xfId="0" applyNumberFormat="1" applyFont="1" applyFill="1" applyAlignment="1">
      <alignment horizontal="center"/>
    </xf>
    <xf numFmtId="0" fontId="19" fillId="2" borderId="1" xfId="0" applyFont="1" applyFill="1" applyBorder="1" applyAlignment="1">
      <alignment horizontal="center" vertical="center" wrapText="1"/>
    </xf>
    <xf numFmtId="164" fontId="19"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top"/>
    </xf>
    <xf numFmtId="0" fontId="20" fillId="2" borderId="1" xfId="0" applyFont="1" applyFill="1" applyBorder="1" applyAlignment="1">
      <alignment vertical="top" wrapText="1"/>
    </xf>
    <xf numFmtId="49" fontId="17" fillId="2" borderId="1" xfId="0" applyNumberFormat="1" applyFont="1" applyFill="1" applyBorder="1" applyAlignment="1">
      <alignment horizontal="center" vertical="top"/>
    </xf>
    <xf numFmtId="0" fontId="20" fillId="2" borderId="1" xfId="0" applyFont="1" applyFill="1" applyBorder="1" applyAlignment="1">
      <alignment horizontal="center" vertical="top" wrapText="1"/>
    </xf>
    <xf numFmtId="0" fontId="20" fillId="2" borderId="1" xfId="0" applyFont="1" applyFill="1" applyBorder="1" applyAlignment="1">
      <alignment horizontal="center" vertical="center" wrapText="1"/>
    </xf>
    <xf numFmtId="49" fontId="17" fillId="2" borderId="1" xfId="0" applyNumberFormat="1" applyFont="1" applyFill="1" applyBorder="1" applyAlignment="1">
      <alignment horizontal="center" vertical="top" wrapText="1"/>
    </xf>
    <xf numFmtId="0" fontId="23" fillId="2" borderId="0" xfId="0" applyFont="1" applyFill="1" applyBorder="1" applyAlignment="1">
      <alignment horizontal="center" vertical="top" wrapText="1"/>
    </xf>
    <xf numFmtId="49" fontId="25" fillId="2" borderId="0" xfId="1" applyNumberFormat="1" applyFont="1" applyFill="1" applyAlignment="1">
      <alignment horizontal="center"/>
    </xf>
    <xf numFmtId="164" fontId="26" fillId="2" borderId="0" xfId="1" applyNumberFormat="1" applyFont="1" applyFill="1" applyBorder="1" applyAlignment="1">
      <alignment horizontal="center"/>
    </xf>
    <xf numFmtId="0" fontId="25" fillId="2" borderId="0" xfId="1" applyFont="1" applyFill="1" applyBorder="1"/>
    <xf numFmtId="0" fontId="25" fillId="2" borderId="0" xfId="1" applyFont="1" applyFill="1"/>
    <xf numFmtId="49" fontId="27" fillId="2" borderId="0" xfId="1" applyNumberFormat="1" applyFont="1" applyFill="1" applyBorder="1" applyAlignment="1"/>
    <xf numFmtId="49" fontId="27" fillId="2" borderId="0" xfId="1" applyNumberFormat="1" applyFont="1" applyFill="1" applyBorder="1" applyAlignment="1">
      <alignment horizontal="left"/>
    </xf>
    <xf numFmtId="49" fontId="27" fillId="2" borderId="0" xfId="1" applyNumberFormat="1" applyFont="1" applyFill="1" applyBorder="1" applyAlignment="1">
      <alignment wrapText="1"/>
    </xf>
    <xf numFmtId="49" fontId="27" fillId="2" borderId="0" xfId="1" applyNumberFormat="1" applyFont="1" applyFill="1" applyBorder="1" applyAlignment="1">
      <alignment horizontal="left" wrapText="1"/>
    </xf>
    <xf numFmtId="49" fontId="26" fillId="2" borderId="0" xfId="1" applyNumberFormat="1" applyFont="1" applyFill="1" applyBorder="1" applyAlignment="1">
      <alignment horizontal="center"/>
    </xf>
    <xf numFmtId="49" fontId="26" fillId="2" borderId="0" xfId="1" applyNumberFormat="1" applyFont="1" applyFill="1" applyBorder="1" applyAlignment="1">
      <alignment horizontal="left"/>
    </xf>
    <xf numFmtId="164" fontId="27" fillId="2" borderId="0" xfId="1" applyNumberFormat="1" applyFont="1" applyFill="1" applyBorder="1" applyAlignment="1">
      <alignment horizontal="center" vertical="center"/>
    </xf>
    <xf numFmtId="0" fontId="25" fillId="2" borderId="0" xfId="1" applyFont="1" applyFill="1" applyBorder="1" applyAlignment="1">
      <alignment horizontal="center"/>
    </xf>
    <xf numFmtId="49" fontId="27" fillId="2" borderId="1" xfId="1" applyNumberFormat="1" applyFont="1" applyFill="1" applyBorder="1" applyAlignment="1">
      <alignment horizontal="center" vertical="center" wrapText="1"/>
    </xf>
    <xf numFmtId="0" fontId="27" fillId="2" borderId="1" xfId="1" applyFont="1" applyFill="1" applyBorder="1" applyAlignment="1">
      <alignment horizontal="center" vertical="center" wrapText="1"/>
    </xf>
    <xf numFmtId="3" fontId="27" fillId="2" borderId="1" xfId="1" applyNumberFormat="1" applyFont="1" applyFill="1" applyBorder="1" applyAlignment="1">
      <alignment horizontal="center" vertical="center" wrapText="1"/>
    </xf>
    <xf numFmtId="0" fontId="27" fillId="2" borderId="0" xfId="1" applyFont="1" applyFill="1" applyBorder="1"/>
    <xf numFmtId="49" fontId="31" fillId="2" borderId="1" xfId="1" applyNumberFormat="1" applyFont="1" applyFill="1" applyBorder="1" applyAlignment="1">
      <alignment horizontal="center" vertical="top" wrapText="1"/>
    </xf>
    <xf numFmtId="0" fontId="33" fillId="2" borderId="0" xfId="1" applyFont="1" applyFill="1" applyBorder="1"/>
    <xf numFmtId="0" fontId="30" fillId="2" borderId="1" xfId="1" applyFont="1" applyFill="1" applyBorder="1" applyAlignment="1">
      <alignment vertical="top" wrapText="1"/>
    </xf>
    <xf numFmtId="0" fontId="25" fillId="2" borderId="0" xfId="1" applyFont="1" applyFill="1" applyBorder="1" applyAlignment="1">
      <alignment horizontal="left"/>
    </xf>
    <xf numFmtId="0" fontId="31" fillId="2" borderId="1" xfId="1" applyFont="1" applyFill="1" applyBorder="1" applyAlignment="1">
      <alignment horizontal="center" vertical="top" wrapText="1"/>
    </xf>
    <xf numFmtId="0" fontId="27" fillId="2" borderId="0" xfId="1" applyFont="1" applyFill="1" applyBorder="1" applyAlignment="1">
      <alignment horizontal="left" vertical="top" wrapText="1"/>
    </xf>
    <xf numFmtId="49" fontId="26" fillId="2" borderId="1" xfId="1" applyNumberFormat="1" applyFont="1" applyFill="1" applyBorder="1" applyAlignment="1">
      <alignment horizontal="center" vertical="top" wrapText="1"/>
    </xf>
    <xf numFmtId="49" fontId="27" fillId="2" borderId="1" xfId="1" applyNumberFormat="1" applyFont="1" applyFill="1" applyBorder="1" applyAlignment="1">
      <alignment horizontal="center"/>
    </xf>
    <xf numFmtId="49" fontId="35" fillId="2" borderId="0" xfId="1" applyNumberFormat="1" applyFont="1" applyFill="1" applyBorder="1" applyAlignment="1">
      <alignment horizontal="left"/>
    </xf>
    <xf numFmtId="164" fontId="35" fillId="2" borderId="0" xfId="1" applyNumberFormat="1" applyFont="1" applyFill="1" applyBorder="1" applyAlignment="1">
      <alignment horizontal="center"/>
    </xf>
    <xf numFmtId="164" fontId="27" fillId="2" borderId="0" xfId="1" applyNumberFormat="1" applyFont="1" applyFill="1" applyBorder="1" applyAlignment="1">
      <alignment horizontal="center"/>
    </xf>
    <xf numFmtId="0" fontId="27" fillId="2" borderId="0" xfId="1" applyFont="1" applyFill="1" applyBorder="1" applyAlignment="1">
      <alignment horizontal="left"/>
    </xf>
    <xf numFmtId="0" fontId="5" fillId="2" borderId="1" xfId="0" applyFont="1" applyFill="1" applyBorder="1" applyAlignment="1">
      <alignment vertical="top" wrapText="1"/>
    </xf>
    <xf numFmtId="49" fontId="5" fillId="2" borderId="1" xfId="0" applyNumberFormat="1" applyFont="1" applyFill="1" applyBorder="1" applyAlignment="1">
      <alignment vertical="top" wrapText="1"/>
    </xf>
    <xf numFmtId="164" fontId="5" fillId="2" borderId="1" xfId="0" applyNumberFormat="1" applyFont="1" applyFill="1" applyBorder="1" applyAlignment="1">
      <alignment vertical="top" wrapText="1"/>
    </xf>
    <xf numFmtId="0" fontId="5" fillId="2" borderId="1" xfId="0" applyNumberFormat="1" applyFont="1" applyFill="1" applyBorder="1" applyAlignment="1">
      <alignment vertical="top" wrapText="1"/>
    </xf>
    <xf numFmtId="49" fontId="5" fillId="2" borderId="1" xfId="0" applyNumberFormat="1" applyFont="1" applyFill="1" applyBorder="1" applyAlignment="1">
      <alignment horizontal="left" vertical="top" wrapText="1"/>
    </xf>
    <xf numFmtId="0" fontId="0" fillId="2" borderId="0" xfId="0" applyFill="1"/>
    <xf numFmtId="0" fontId="0" fillId="2" borderId="0" xfId="0" applyFill="1" applyAlignment="1">
      <alignment horizontal="center"/>
    </xf>
    <xf numFmtId="0" fontId="0" fillId="2" borderId="0" xfId="0" applyFill="1" applyAlignment="1">
      <alignment horizontal="left"/>
    </xf>
    <xf numFmtId="165" fontId="6" fillId="2" borderId="1" xfId="0" applyNumberFormat="1" applyFont="1" applyFill="1" applyBorder="1" applyAlignment="1">
      <alignment horizontal="left" vertical="top"/>
    </xf>
    <xf numFmtId="165" fontId="5" fillId="2" borderId="1" xfId="0" applyNumberFormat="1" applyFont="1" applyFill="1" applyBorder="1" applyAlignment="1">
      <alignment horizontal="left" vertical="top"/>
    </xf>
    <xf numFmtId="164" fontId="5" fillId="2" borderId="0" xfId="0" applyNumberFormat="1" applyFont="1" applyFill="1" applyBorder="1" applyAlignment="1">
      <alignment horizontal="right" vertical="top"/>
    </xf>
    <xf numFmtId="164" fontId="5" fillId="2" borderId="1" xfId="0" applyNumberFormat="1" applyFont="1" applyFill="1" applyBorder="1" applyAlignment="1">
      <alignment horizontal="right" vertical="top" textRotation="90" wrapText="1"/>
    </xf>
    <xf numFmtId="164" fontId="10" fillId="2" borderId="1" xfId="0" applyNumberFormat="1" applyFont="1" applyFill="1" applyBorder="1" applyAlignment="1">
      <alignment horizontal="right" vertical="top"/>
    </xf>
    <xf numFmtId="49" fontId="13" fillId="2" borderId="0" xfId="0" applyNumberFormat="1" applyFont="1" applyFill="1" applyBorder="1" applyAlignment="1">
      <alignment horizontal="right" vertical="top" wrapText="1"/>
    </xf>
    <xf numFmtId="0" fontId="0" fillId="2" borderId="0" xfId="0" applyFill="1" applyAlignment="1">
      <alignment horizontal="right"/>
    </xf>
    <xf numFmtId="164" fontId="13" fillId="2" borderId="0" xfId="0" applyNumberFormat="1" applyFont="1" applyFill="1" applyBorder="1" applyAlignment="1">
      <alignment horizontal="right" vertical="top"/>
    </xf>
    <xf numFmtId="164" fontId="5" fillId="2" borderId="1" xfId="0" applyNumberFormat="1" applyFont="1" applyFill="1" applyBorder="1" applyAlignment="1">
      <alignment horizontal="left" vertical="top"/>
    </xf>
    <xf numFmtId="164" fontId="32" fillId="2" borderId="1" xfId="1" applyNumberFormat="1" applyFont="1" applyFill="1" applyBorder="1" applyAlignment="1">
      <alignment horizontal="center" vertical="top" wrapText="1"/>
    </xf>
    <xf numFmtId="164" fontId="8" fillId="2" borderId="1" xfId="0" applyNumberFormat="1" applyFont="1" applyFill="1" applyBorder="1" applyAlignment="1">
      <alignment horizontal="right" vertical="top" textRotation="90" wrapText="1"/>
    </xf>
    <xf numFmtId="0" fontId="11" fillId="2" borderId="0" xfId="0" applyFont="1" applyFill="1" applyBorder="1" applyAlignment="1">
      <alignment horizontal="right" vertical="top"/>
    </xf>
    <xf numFmtId="0" fontId="37" fillId="2" borderId="0" xfId="0" applyFont="1" applyFill="1"/>
    <xf numFmtId="165" fontId="38" fillId="2" borderId="0" xfId="0" applyNumberFormat="1" applyFont="1" applyFill="1" applyBorder="1"/>
    <xf numFmtId="164" fontId="37" fillId="2" borderId="0" xfId="0" applyNumberFormat="1" applyFont="1" applyFill="1"/>
    <xf numFmtId="0" fontId="0" fillId="2" borderId="1" xfId="0" applyFill="1" applyBorder="1"/>
    <xf numFmtId="0" fontId="3" fillId="2" borderId="2" xfId="0" applyFont="1" applyFill="1" applyBorder="1"/>
    <xf numFmtId="0" fontId="2" fillId="2" borderId="1" xfId="0" applyFont="1" applyFill="1" applyBorder="1"/>
    <xf numFmtId="0" fontId="3" fillId="2" borderId="1" xfId="0" applyFont="1" applyFill="1" applyBorder="1" applyAlignment="1">
      <alignment horizontal="right"/>
    </xf>
    <xf numFmtId="49" fontId="2" fillId="2" borderId="1" xfId="0" applyNumberFormat="1" applyFont="1" applyFill="1" applyBorder="1"/>
    <xf numFmtId="49" fontId="3" fillId="2" borderId="1" xfId="0" applyNumberFormat="1" applyFont="1" applyFill="1" applyBorder="1"/>
    <xf numFmtId="164" fontId="2" fillId="2" borderId="1" xfId="0" applyNumberFormat="1" applyFont="1" applyFill="1" applyBorder="1"/>
    <xf numFmtId="165" fontId="3" fillId="2" borderId="1" xfId="0" applyNumberFormat="1" applyFont="1" applyFill="1" applyBorder="1"/>
    <xf numFmtId="0" fontId="3" fillId="2" borderId="1" xfId="0" applyFont="1" applyFill="1" applyBorder="1" applyAlignment="1">
      <alignment horizontal="center"/>
    </xf>
    <xf numFmtId="0" fontId="3" fillId="2" borderId="1" xfId="0" applyFont="1" applyFill="1" applyBorder="1" applyAlignment="1">
      <alignment vertical="top"/>
    </xf>
    <xf numFmtId="0" fontId="3" fillId="2" borderId="1" xfId="0" applyFont="1" applyFill="1" applyBorder="1" applyAlignment="1">
      <alignment vertical="center"/>
    </xf>
    <xf numFmtId="0" fontId="3" fillId="2" borderId="1" xfId="0" applyFont="1" applyFill="1" applyBorder="1" applyAlignment="1">
      <alignment horizontal="center" vertical="top"/>
    </xf>
    <xf numFmtId="49" fontId="27" fillId="2" borderId="1" xfId="1" applyNumberFormat="1" applyFont="1" applyFill="1" applyBorder="1" applyAlignment="1">
      <alignment horizontal="left" vertical="top" wrapText="1"/>
    </xf>
    <xf numFmtId="164" fontId="11" fillId="2" borderId="1" xfId="0" applyNumberFormat="1" applyFont="1" applyFill="1" applyBorder="1" applyAlignment="1">
      <alignment horizontal="right" vertical="top"/>
    </xf>
    <xf numFmtId="164" fontId="6" fillId="2" borderId="1" xfId="0" applyNumberFormat="1" applyFont="1" applyFill="1" applyBorder="1" applyAlignment="1">
      <alignment horizontal="left" vertical="top" wrapText="1"/>
    </xf>
    <xf numFmtId="164" fontId="11" fillId="2" borderId="1" xfId="0" applyNumberFormat="1" applyFont="1" applyFill="1" applyBorder="1" applyAlignment="1">
      <alignment vertical="top"/>
    </xf>
    <xf numFmtId="164" fontId="11" fillId="2" borderId="1" xfId="0" applyNumberFormat="1" applyFont="1" applyFill="1" applyBorder="1" applyAlignment="1">
      <alignment horizontal="right" vertical="top"/>
    </xf>
    <xf numFmtId="4" fontId="5" fillId="2" borderId="1" xfId="0" applyNumberFormat="1" applyFont="1" applyFill="1" applyBorder="1" applyAlignment="1">
      <alignment horizontal="left" vertical="top" wrapText="1"/>
    </xf>
    <xf numFmtId="49" fontId="26" fillId="2" borderId="0" xfId="1" applyNumberFormat="1" applyFont="1" applyFill="1" applyBorder="1" applyAlignment="1"/>
    <xf numFmtId="0" fontId="27" fillId="2" borderId="1" xfId="1" applyFont="1" applyFill="1" applyBorder="1" applyAlignment="1">
      <alignment vertical="center" wrapText="1"/>
    </xf>
    <xf numFmtId="0" fontId="27" fillId="2" borderId="0" xfId="1" applyFont="1" applyFill="1" applyBorder="1" applyAlignment="1"/>
    <xf numFmtId="0" fontId="0" fillId="2" borderId="0" xfId="0" applyFill="1" applyAlignment="1"/>
    <xf numFmtId="49" fontId="27" fillId="2" borderId="1" xfId="1" applyNumberFormat="1" applyFont="1" applyFill="1" applyBorder="1" applyAlignment="1">
      <alignment horizontal="center" vertical="top"/>
    </xf>
    <xf numFmtId="0" fontId="0" fillId="2" borderId="0" xfId="0" applyFill="1" applyAlignment="1">
      <alignment horizontal="center"/>
    </xf>
    <xf numFmtId="0" fontId="1" fillId="2" borderId="0" xfId="0" applyFont="1" applyFill="1" applyBorder="1" applyAlignment="1">
      <alignment horizontal="right"/>
    </xf>
    <xf numFmtId="0" fontId="1" fillId="2" borderId="0" xfId="0" applyFont="1" applyFill="1" applyBorder="1" applyAlignment="1">
      <alignment horizontal="center" vertical="center"/>
    </xf>
    <xf numFmtId="0" fontId="14" fillId="2" borderId="0" xfId="0" applyFont="1" applyFill="1" applyBorder="1" applyAlignment="1">
      <alignment horizontal="center" vertical="center"/>
    </xf>
    <xf numFmtId="0" fontId="4" fillId="2" borderId="0" xfId="0" applyFont="1" applyFill="1" applyBorder="1" applyAlignment="1">
      <alignment horizontal="center" vertical="center"/>
    </xf>
    <xf numFmtId="44" fontId="0" fillId="2" borderId="0" xfId="4" applyFont="1" applyFill="1"/>
    <xf numFmtId="49" fontId="27" fillId="2" borderId="0" xfId="1" applyNumberFormat="1" applyFont="1" applyFill="1" applyBorder="1" applyAlignment="1">
      <alignment horizontal="center"/>
    </xf>
    <xf numFmtId="164" fontId="20" fillId="2" borderId="1" xfId="0" applyNumberFormat="1" applyFont="1" applyFill="1" applyBorder="1" applyAlignment="1">
      <alignment horizontal="center" vertical="top" wrapText="1"/>
    </xf>
    <xf numFmtId="0" fontId="0" fillId="2" borderId="0" xfId="0" applyFill="1" applyBorder="1"/>
    <xf numFmtId="0" fontId="3" fillId="3" borderId="0" xfId="0" applyFont="1" applyFill="1" applyBorder="1"/>
    <xf numFmtId="0" fontId="0" fillId="3" borderId="0" xfId="0" applyFill="1"/>
    <xf numFmtId="164" fontId="11" fillId="3" borderId="1" xfId="0" applyNumberFormat="1" applyFont="1" applyFill="1" applyBorder="1" applyAlignment="1">
      <alignment vertical="top"/>
    </xf>
    <xf numFmtId="0" fontId="37" fillId="3" borderId="0" xfId="0" applyFont="1" applyFill="1"/>
    <xf numFmtId="0" fontId="27" fillId="2" borderId="1" xfId="0" applyNumberFormat="1" applyFont="1" applyFill="1" applyBorder="1" applyAlignment="1">
      <alignment vertical="top" wrapText="1"/>
    </xf>
    <xf numFmtId="49" fontId="27" fillId="2" borderId="1" xfId="0" applyNumberFormat="1" applyFont="1" applyFill="1" applyBorder="1" applyAlignment="1">
      <alignment horizontal="left" vertical="top" wrapText="1"/>
    </xf>
    <xf numFmtId="0" fontId="27" fillId="2" borderId="1" xfId="0" applyFont="1" applyFill="1" applyBorder="1" applyAlignment="1">
      <alignment horizontal="left" vertical="top" wrapText="1"/>
    </xf>
    <xf numFmtId="0" fontId="27" fillId="2" borderId="1" xfId="0" applyNumberFormat="1" applyFont="1" applyFill="1" applyBorder="1" applyAlignment="1">
      <alignment horizontal="left" vertical="top" wrapText="1"/>
    </xf>
    <xf numFmtId="0" fontId="41" fillId="2" borderId="0" xfId="1" applyFont="1" applyFill="1" applyBorder="1" applyAlignment="1">
      <alignment horizontal="left" vertical="top" wrapText="1"/>
    </xf>
    <xf numFmtId="0" fontId="42" fillId="2" borderId="0" xfId="0" applyFont="1" applyFill="1"/>
    <xf numFmtId="0" fontId="27" fillId="2" borderId="1" xfId="0" applyFont="1" applyFill="1" applyBorder="1" applyAlignment="1">
      <alignment vertical="top" wrapText="1"/>
    </xf>
    <xf numFmtId="164" fontId="27" fillId="2" borderId="1" xfId="0" applyNumberFormat="1" applyFont="1" applyFill="1" applyBorder="1" applyAlignment="1">
      <alignment horizontal="left" vertical="top" wrapText="1"/>
    </xf>
    <xf numFmtId="4" fontId="27" fillId="2" borderId="1" xfId="0" applyNumberFormat="1" applyFont="1" applyFill="1" applyBorder="1" applyAlignment="1">
      <alignment horizontal="left" vertical="top" wrapText="1"/>
    </xf>
    <xf numFmtId="3" fontId="20" fillId="2" borderId="1" xfId="0" applyNumberFormat="1" applyFont="1" applyFill="1" applyBorder="1" applyAlignment="1">
      <alignment horizontal="center" vertical="top" wrapText="1"/>
    </xf>
    <xf numFmtId="164" fontId="11" fillId="2" borderId="1" xfId="0" applyNumberFormat="1" applyFont="1" applyFill="1" applyBorder="1" applyAlignment="1">
      <alignment horizontal="right" vertical="top"/>
    </xf>
    <xf numFmtId="164" fontId="11" fillId="2" borderId="5" xfId="0" applyNumberFormat="1" applyFont="1" applyFill="1" applyBorder="1" applyAlignment="1">
      <alignment horizontal="right" vertical="top"/>
    </xf>
    <xf numFmtId="0" fontId="21" fillId="2" borderId="1" xfId="0" applyFont="1" applyFill="1" applyBorder="1" applyAlignment="1">
      <alignment vertical="top" wrapText="1"/>
    </xf>
    <xf numFmtId="164" fontId="20" fillId="2" borderId="1" xfId="0" applyNumberFormat="1" applyFont="1" applyFill="1" applyBorder="1" applyAlignment="1">
      <alignment vertical="top" wrapText="1"/>
    </xf>
    <xf numFmtId="3" fontId="22" fillId="2" borderId="1" xfId="0" applyNumberFormat="1" applyFont="1" applyFill="1" applyBorder="1" applyAlignment="1">
      <alignment horizontal="center" vertical="top" wrapText="1"/>
    </xf>
    <xf numFmtId="165" fontId="20" fillId="2" borderId="1" xfId="0" applyNumberFormat="1" applyFont="1" applyFill="1" applyBorder="1" applyAlignment="1">
      <alignment horizontal="center" vertical="top" wrapText="1"/>
    </xf>
    <xf numFmtId="166" fontId="20" fillId="2" borderId="1" xfId="0" applyNumberFormat="1" applyFont="1" applyFill="1" applyBorder="1" applyAlignment="1">
      <alignment horizontal="center" vertical="top" wrapText="1"/>
    </xf>
    <xf numFmtId="0" fontId="22" fillId="2" borderId="1" xfId="0" applyFont="1" applyFill="1" applyBorder="1" applyAlignment="1">
      <alignment vertical="top" wrapText="1"/>
    </xf>
    <xf numFmtId="0" fontId="20" fillId="2" borderId="1" xfId="0" applyFont="1" applyFill="1" applyBorder="1" applyAlignment="1">
      <alignment horizontal="left" vertical="top" wrapText="1"/>
    </xf>
    <xf numFmtId="0" fontId="39" fillId="2" borderId="0" xfId="0" applyFont="1" applyFill="1" applyAlignment="1">
      <alignment horizontal="left" wrapText="1"/>
    </xf>
    <xf numFmtId="49" fontId="13" fillId="2" borderId="0" xfId="1" applyNumberFormat="1" applyFont="1" applyFill="1" applyBorder="1" applyAlignment="1">
      <alignment horizontal="right" wrapText="1"/>
    </xf>
    <xf numFmtId="0" fontId="43" fillId="2" borderId="0" xfId="0" applyFont="1" applyFill="1" applyAlignment="1">
      <alignment horizontal="left" wrapText="1"/>
    </xf>
    <xf numFmtId="0" fontId="45" fillId="2" borderId="0" xfId="0" applyFont="1" applyFill="1" applyAlignment="1">
      <alignment horizontal="right"/>
    </xf>
    <xf numFmtId="0" fontId="0" fillId="2" borderId="0" xfId="0" applyFill="1" applyAlignment="1">
      <alignment horizontal="center"/>
    </xf>
    <xf numFmtId="0" fontId="27" fillId="2" borderId="1" xfId="1" applyFont="1" applyFill="1" applyBorder="1" applyAlignment="1">
      <alignment horizontal="left" vertical="top" wrapText="1"/>
    </xf>
    <xf numFmtId="14" fontId="30" fillId="2" borderId="1" xfId="1" applyNumberFormat="1" applyFont="1" applyFill="1" applyBorder="1" applyAlignment="1">
      <alignment horizontal="center" vertical="top" wrapText="1"/>
    </xf>
    <xf numFmtId="0" fontId="30" fillId="2" borderId="1" xfId="1" applyFont="1" applyFill="1" applyBorder="1" applyAlignment="1">
      <alignment horizontal="center" vertical="top" wrapText="1"/>
    </xf>
    <xf numFmtId="164" fontId="30" fillId="2" borderId="1" xfId="1" applyNumberFormat="1" applyFont="1" applyFill="1" applyBorder="1" applyAlignment="1">
      <alignment horizontal="center" vertical="top" wrapText="1"/>
    </xf>
    <xf numFmtId="0" fontId="31" fillId="2" borderId="1" xfId="1" applyFont="1" applyFill="1" applyBorder="1" applyAlignment="1">
      <alignment horizontal="left" vertical="top" wrapText="1"/>
    </xf>
    <xf numFmtId="49" fontId="27" fillId="2" borderId="1" xfId="1" applyNumberFormat="1" applyFont="1" applyFill="1" applyBorder="1" applyAlignment="1">
      <alignment horizontal="center" vertical="top" wrapText="1"/>
    </xf>
    <xf numFmtId="164" fontId="27" fillId="2" borderId="1" xfId="1" applyNumberFormat="1" applyFont="1" applyFill="1" applyBorder="1" applyAlignment="1">
      <alignment horizontal="center" vertical="top" wrapText="1"/>
    </xf>
    <xf numFmtId="0" fontId="27" fillId="2" borderId="1" xfId="1" applyFont="1" applyFill="1" applyBorder="1" applyAlignment="1">
      <alignment vertical="top" wrapText="1"/>
    </xf>
    <xf numFmtId="0" fontId="27" fillId="2" borderId="1" xfId="1" applyFont="1" applyFill="1" applyBorder="1" applyAlignment="1">
      <alignment horizontal="center" vertical="top" wrapText="1"/>
    </xf>
    <xf numFmtId="49" fontId="27" fillId="2" borderId="0" xfId="1" applyNumberFormat="1" applyFont="1" applyFill="1" applyBorder="1" applyAlignment="1">
      <alignment horizontal="center" wrapText="1"/>
    </xf>
    <xf numFmtId="14" fontId="30" fillId="2" borderId="1" xfId="1" applyNumberFormat="1" applyFont="1" applyFill="1" applyBorder="1" applyAlignment="1">
      <alignment horizontal="center" vertical="top" wrapText="1"/>
    </xf>
    <xf numFmtId="14" fontId="30" fillId="2" borderId="6" xfId="1" applyNumberFormat="1" applyFont="1" applyFill="1" applyBorder="1" applyAlignment="1">
      <alignment horizontal="center" vertical="top" wrapText="1"/>
    </xf>
    <xf numFmtId="49" fontId="35" fillId="2" borderId="0" xfId="1" applyNumberFormat="1" applyFont="1" applyFill="1" applyBorder="1" applyAlignment="1">
      <alignment horizontal="center"/>
    </xf>
    <xf numFmtId="0" fontId="27" fillId="2" borderId="0" xfId="1" applyFont="1" applyFill="1" applyBorder="1" applyAlignment="1">
      <alignment horizontal="center"/>
    </xf>
    <xf numFmtId="14" fontId="30" fillId="2" borderId="1" xfId="1" applyNumberFormat="1" applyFont="1" applyFill="1" applyBorder="1" applyAlignment="1">
      <alignment vertical="top" wrapText="1"/>
    </xf>
    <xf numFmtId="4" fontId="20" fillId="2" borderId="1" xfId="0" applyNumberFormat="1" applyFont="1" applyFill="1" applyBorder="1" applyAlignment="1">
      <alignment horizontal="center" vertical="top" wrapText="1"/>
    </xf>
    <xf numFmtId="167" fontId="20" fillId="2" borderId="1" xfId="0" applyNumberFormat="1" applyFont="1" applyFill="1" applyBorder="1" applyAlignment="1">
      <alignment horizontal="center" vertical="top" wrapText="1"/>
    </xf>
    <xf numFmtId="2" fontId="20" fillId="2" borderId="1" xfId="0" applyNumberFormat="1" applyFont="1" applyFill="1" applyBorder="1" applyAlignment="1">
      <alignment horizontal="center" vertical="top" wrapText="1"/>
    </xf>
    <xf numFmtId="165" fontId="20" fillId="2" borderId="1" xfId="0" applyNumberFormat="1" applyFont="1" applyFill="1" applyBorder="1" applyAlignment="1">
      <alignment horizontal="left" vertical="top" wrapText="1" indent="2"/>
    </xf>
    <xf numFmtId="0" fontId="5" fillId="2" borderId="5" xfId="0" applyFont="1" applyFill="1" applyBorder="1" applyAlignment="1">
      <alignment horizontal="center"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1" xfId="0" applyFont="1" applyFill="1" applyBorder="1" applyAlignment="1">
      <alignment horizontal="center" vertical="top"/>
    </xf>
    <xf numFmtId="164" fontId="5" fillId="2" borderId="1" xfId="0" applyNumberFormat="1" applyFont="1" applyFill="1" applyBorder="1" applyAlignment="1">
      <alignment horizontal="left" vertical="top" wrapText="1"/>
    </xf>
    <xf numFmtId="0" fontId="5" fillId="2" borderId="1" xfId="0" applyFont="1" applyFill="1" applyBorder="1" applyAlignment="1">
      <alignment horizontal="center" vertical="top" wrapText="1"/>
    </xf>
    <xf numFmtId="3" fontId="5" fillId="2" borderId="1" xfId="0" applyNumberFormat="1" applyFont="1" applyFill="1" applyBorder="1" applyAlignment="1">
      <alignment horizontal="center" vertical="top"/>
    </xf>
    <xf numFmtId="0" fontId="5" fillId="2" borderId="5" xfId="0" applyFont="1" applyFill="1" applyBorder="1" applyAlignment="1">
      <alignment horizontal="center" vertical="top"/>
    </xf>
    <xf numFmtId="0" fontId="5" fillId="2" borderId="1" xfId="0" applyFont="1" applyFill="1" applyBorder="1" applyAlignment="1">
      <alignment horizontal="left" vertical="top"/>
    </xf>
    <xf numFmtId="164" fontId="5" fillId="2" borderId="1" xfId="0" applyNumberFormat="1" applyFont="1" applyFill="1" applyBorder="1" applyAlignment="1">
      <alignment horizontal="center" vertical="top" wrapText="1"/>
    </xf>
    <xf numFmtId="164" fontId="5" fillId="2" borderId="5" xfId="0" applyNumberFormat="1" applyFont="1" applyFill="1" applyBorder="1" applyAlignment="1">
      <alignment horizontal="left" vertical="top" wrapText="1"/>
    </xf>
    <xf numFmtId="164" fontId="5" fillId="2" borderId="6" xfId="0" applyNumberFormat="1" applyFont="1" applyFill="1" applyBorder="1" applyAlignment="1">
      <alignment horizontal="left" vertical="top" wrapText="1"/>
    </xf>
    <xf numFmtId="3" fontId="5" fillId="2" borderId="5" xfId="0" applyNumberFormat="1" applyFont="1" applyFill="1" applyBorder="1" applyAlignment="1">
      <alignment horizontal="center" vertical="top"/>
    </xf>
    <xf numFmtId="164" fontId="11" fillId="2" borderId="5" xfId="0" applyNumberFormat="1" applyFont="1" applyFill="1" applyBorder="1" applyAlignment="1">
      <alignment horizontal="right" vertical="top"/>
    </xf>
    <xf numFmtId="164" fontId="11" fillId="2" borderId="6" xfId="0" applyNumberFormat="1" applyFont="1" applyFill="1" applyBorder="1" applyAlignment="1">
      <alignment horizontal="right" vertical="top"/>
    </xf>
    <xf numFmtId="164" fontId="11" fillId="2" borderId="1" xfId="0" applyNumberFormat="1" applyFont="1" applyFill="1" applyBorder="1" applyAlignment="1">
      <alignment horizontal="right" vertical="top"/>
    </xf>
    <xf numFmtId="164" fontId="5" fillId="2" borderId="5" xfId="0" applyNumberFormat="1" applyFont="1" applyFill="1" applyBorder="1" applyAlignment="1">
      <alignment horizontal="center" vertical="top" wrapText="1"/>
    </xf>
    <xf numFmtId="164" fontId="5" fillId="2" borderId="1" xfId="0" applyNumberFormat="1" applyFont="1" applyFill="1" applyBorder="1" applyAlignment="1">
      <alignment horizontal="center" vertical="top"/>
    </xf>
    <xf numFmtId="3" fontId="5" fillId="2" borderId="1" xfId="0" applyNumberFormat="1" applyFont="1" applyFill="1" applyBorder="1" applyAlignment="1">
      <alignment horizontal="center" vertical="top" wrapText="1"/>
    </xf>
    <xf numFmtId="165" fontId="5" fillId="2" borderId="1" xfId="0" applyNumberFormat="1" applyFont="1" applyFill="1" applyBorder="1" applyAlignment="1">
      <alignment horizontal="left" vertical="top" wrapText="1"/>
    </xf>
    <xf numFmtId="164" fontId="11" fillId="2" borderId="1" xfId="0" applyNumberFormat="1" applyFont="1" applyFill="1" applyBorder="1" applyAlignment="1">
      <alignment horizontal="right" vertical="top" wrapText="1"/>
    </xf>
    <xf numFmtId="49" fontId="5" fillId="2" borderId="1" xfId="0" applyNumberFormat="1" applyFont="1" applyFill="1" applyBorder="1" applyAlignment="1">
      <alignment horizontal="center" vertical="top" wrapText="1"/>
    </xf>
    <xf numFmtId="49" fontId="5" fillId="2" borderId="5" xfId="0" applyNumberFormat="1" applyFont="1" applyFill="1" applyBorder="1" applyAlignment="1">
      <alignment horizontal="center" vertical="top" wrapText="1"/>
    </xf>
    <xf numFmtId="0" fontId="27" fillId="2" borderId="1" xfId="1"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1" xfId="0" applyFont="1" applyFill="1" applyBorder="1" applyAlignment="1">
      <alignment horizontal="center" vertical="top"/>
    </xf>
    <xf numFmtId="0" fontId="5" fillId="2" borderId="1" xfId="0" applyNumberFormat="1" applyFont="1" applyFill="1" applyBorder="1" applyAlignment="1">
      <alignment horizontal="left" vertical="top" wrapText="1"/>
    </xf>
    <xf numFmtId="0" fontId="5" fillId="2" borderId="5" xfId="0" applyFont="1" applyFill="1" applyBorder="1" applyAlignment="1">
      <alignment horizontal="left" vertical="top" wrapText="1"/>
    </xf>
    <xf numFmtId="164" fontId="5" fillId="2" borderId="1" xfId="0" applyNumberFormat="1" applyFont="1" applyFill="1" applyBorder="1" applyAlignment="1">
      <alignment horizontal="left" vertical="top" wrapText="1"/>
    </xf>
    <xf numFmtId="0" fontId="49" fillId="2" borderId="5" xfId="0" applyNumberFormat="1" applyFont="1" applyFill="1" applyBorder="1" applyAlignment="1">
      <alignment horizontal="left" vertical="top" wrapText="1"/>
    </xf>
    <xf numFmtId="164" fontId="49" fillId="2" borderId="1" xfId="0" applyNumberFormat="1" applyFont="1" applyFill="1" applyBorder="1" applyAlignment="1">
      <alignment horizontal="left" vertical="top" wrapText="1"/>
    </xf>
    <xf numFmtId="0" fontId="49" fillId="2" borderId="1" xfId="0" applyFont="1" applyFill="1" applyBorder="1" applyAlignment="1">
      <alignment vertical="top" wrapText="1"/>
    </xf>
    <xf numFmtId="0" fontId="49" fillId="2" borderId="1" xfId="0" applyNumberFormat="1" applyFont="1" applyFill="1" applyBorder="1" applyAlignment="1">
      <alignment horizontal="left" vertical="top" wrapText="1"/>
    </xf>
    <xf numFmtId="0" fontId="5" fillId="2" borderId="1" xfId="0" applyFont="1" applyFill="1" applyBorder="1" applyAlignment="1">
      <alignment horizontal="left" vertical="top" wrapText="1"/>
    </xf>
    <xf numFmtId="164" fontId="44" fillId="2" borderId="1" xfId="0" applyNumberFormat="1" applyFont="1" applyFill="1" applyBorder="1" applyAlignment="1">
      <alignment horizontal="left" vertical="top" wrapText="1"/>
    </xf>
    <xf numFmtId="164" fontId="11" fillId="2" borderId="1" xfId="0" applyNumberFormat="1" applyFont="1" applyFill="1" applyBorder="1" applyAlignment="1">
      <alignment horizontal="right" vertical="top"/>
    </xf>
    <xf numFmtId="0" fontId="5" fillId="2" borderId="1" xfId="0" applyFont="1" applyFill="1" applyBorder="1" applyAlignment="1">
      <alignment horizontal="left" vertical="top" wrapText="1"/>
    </xf>
    <xf numFmtId="49" fontId="5" fillId="2" borderId="1" xfId="0" applyNumberFormat="1" applyFont="1" applyFill="1" applyBorder="1" applyAlignment="1">
      <alignment horizontal="center" vertical="top" wrapText="1"/>
    </xf>
    <xf numFmtId="0" fontId="5" fillId="2" borderId="1" xfId="0" applyFont="1" applyFill="1" applyBorder="1" applyAlignment="1">
      <alignment horizontal="center" vertical="top"/>
    </xf>
    <xf numFmtId="0" fontId="5" fillId="2" borderId="1" xfId="0" applyFont="1" applyFill="1" applyBorder="1" applyAlignment="1">
      <alignment horizontal="center" vertical="top" wrapText="1"/>
    </xf>
    <xf numFmtId="3" fontId="5" fillId="2" borderId="1" xfId="0" applyNumberFormat="1" applyFont="1" applyFill="1" applyBorder="1" applyAlignment="1">
      <alignment horizontal="center" vertical="top"/>
    </xf>
    <xf numFmtId="164" fontId="5" fillId="2" borderId="1" xfId="0" applyNumberFormat="1" applyFont="1" applyFill="1" applyBorder="1" applyAlignment="1">
      <alignment horizontal="left" vertical="top" wrapText="1"/>
    </xf>
    <xf numFmtId="0" fontId="5" fillId="2" borderId="1" xfId="0" applyFont="1" applyFill="1" applyBorder="1" applyAlignment="1">
      <alignment horizontal="left" vertical="top" wrapText="1"/>
    </xf>
    <xf numFmtId="164" fontId="11" fillId="2" borderId="1" xfId="0" applyNumberFormat="1" applyFont="1" applyFill="1" applyBorder="1" applyAlignment="1">
      <alignment horizontal="right" vertical="top"/>
    </xf>
    <xf numFmtId="0" fontId="5" fillId="2" borderId="1" xfId="0" applyFont="1" applyFill="1" applyBorder="1" applyAlignment="1">
      <alignment horizontal="left" vertical="top" wrapText="1"/>
    </xf>
    <xf numFmtId="164" fontId="5" fillId="2" borderId="1" xfId="0" applyNumberFormat="1"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1" xfId="0" applyFont="1" applyFill="1" applyBorder="1" applyAlignment="1">
      <alignment horizontal="center" vertical="top"/>
    </xf>
    <xf numFmtId="0" fontId="5" fillId="2" borderId="1" xfId="0" applyFont="1" applyFill="1" applyBorder="1" applyAlignment="1">
      <alignment horizontal="center" vertical="top" wrapText="1"/>
    </xf>
    <xf numFmtId="164" fontId="11" fillId="2" borderId="1" xfId="0" applyNumberFormat="1" applyFont="1" applyFill="1" applyBorder="1" applyAlignment="1">
      <alignment horizontal="right" vertical="top"/>
    </xf>
    <xf numFmtId="3" fontId="5" fillId="2" borderId="1" xfId="0" applyNumberFormat="1" applyFont="1" applyFill="1" applyBorder="1" applyAlignment="1">
      <alignment horizontal="center" vertical="top" wrapText="1"/>
    </xf>
    <xf numFmtId="164" fontId="11" fillId="2" borderId="1" xfId="0" applyNumberFormat="1" applyFont="1" applyFill="1" applyBorder="1" applyAlignment="1">
      <alignment horizontal="right" vertical="top" wrapText="1"/>
    </xf>
    <xf numFmtId="49" fontId="5" fillId="2" borderId="1" xfId="0" applyNumberFormat="1" applyFont="1" applyFill="1" applyBorder="1" applyAlignment="1">
      <alignment horizontal="center" vertical="top" wrapText="1"/>
    </xf>
    <xf numFmtId="0" fontId="5" fillId="2" borderId="1" xfId="0" applyFont="1" applyFill="1" applyBorder="1" applyAlignment="1">
      <alignment horizontal="center" vertical="top" wrapText="1"/>
    </xf>
    <xf numFmtId="0" fontId="48" fillId="2" borderId="0" xfId="0" applyFont="1" applyFill="1" applyBorder="1" applyAlignment="1">
      <alignment horizontal="center"/>
    </xf>
    <xf numFmtId="0" fontId="48" fillId="2" borderId="0" xfId="0" applyFont="1" applyFill="1" applyBorder="1" applyAlignment="1">
      <alignment horizontal="left" vertical="top" wrapText="1"/>
    </xf>
    <xf numFmtId="49" fontId="5" fillId="2" borderId="1" xfId="0" applyNumberFormat="1" applyFont="1" applyFill="1" applyBorder="1" applyAlignment="1">
      <alignment horizontal="center" vertical="top" wrapText="1"/>
    </xf>
    <xf numFmtId="164" fontId="11" fillId="2" borderId="1" xfId="0" applyNumberFormat="1" applyFont="1" applyFill="1" applyBorder="1" applyAlignment="1">
      <alignment horizontal="right" vertical="top"/>
    </xf>
    <xf numFmtId="164" fontId="11" fillId="2" borderId="1" xfId="0" applyNumberFormat="1" applyFont="1" applyFill="1" applyBorder="1" applyAlignment="1">
      <alignment horizontal="right" vertical="top" wrapText="1"/>
    </xf>
    <xf numFmtId="165" fontId="5" fillId="2" borderId="1" xfId="0" applyNumberFormat="1"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top"/>
    </xf>
    <xf numFmtId="3" fontId="5" fillId="2" borderId="1" xfId="0" applyNumberFormat="1" applyFont="1" applyFill="1" applyBorder="1" applyAlignment="1">
      <alignment horizontal="center" vertical="top"/>
    </xf>
    <xf numFmtId="164" fontId="11" fillId="2" borderId="5" xfId="0" applyNumberFormat="1" applyFont="1" applyFill="1" applyBorder="1" applyAlignment="1">
      <alignment horizontal="right" vertical="top" wrapText="1"/>
    </xf>
    <xf numFmtId="164" fontId="11" fillId="2" borderId="6" xfId="0" applyNumberFormat="1" applyFont="1" applyFill="1" applyBorder="1" applyAlignment="1">
      <alignment horizontal="right" vertical="top" wrapText="1"/>
    </xf>
    <xf numFmtId="0" fontId="1"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4" fillId="2" borderId="0" xfId="0" applyFont="1" applyFill="1" applyBorder="1" applyAlignment="1">
      <alignment horizontal="center" vertical="center"/>
    </xf>
    <xf numFmtId="164" fontId="5" fillId="2" borderId="1" xfId="0" applyNumberFormat="1" applyFont="1" applyFill="1" applyBorder="1" applyAlignment="1">
      <alignment horizontal="center" vertical="top" wrapText="1"/>
    </xf>
    <xf numFmtId="164" fontId="11" fillId="2" borderId="5" xfId="0" applyNumberFormat="1" applyFont="1" applyFill="1" applyBorder="1" applyAlignment="1">
      <alignment horizontal="right" vertical="top"/>
    </xf>
    <xf numFmtId="164" fontId="11" fillId="2" borderId="7" xfId="0" applyNumberFormat="1" applyFont="1" applyFill="1" applyBorder="1" applyAlignment="1">
      <alignment horizontal="right" vertical="top"/>
    </xf>
    <xf numFmtId="164" fontId="11" fillId="2" borderId="6" xfId="0" applyNumberFormat="1" applyFont="1" applyFill="1" applyBorder="1" applyAlignment="1">
      <alignment horizontal="right" vertical="top"/>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49" fontId="5" fillId="2" borderId="5" xfId="0" applyNumberFormat="1" applyFont="1" applyFill="1" applyBorder="1" applyAlignment="1">
      <alignment horizontal="center" vertical="top" wrapText="1"/>
    </xf>
    <xf numFmtId="49" fontId="5" fillId="2" borderId="6" xfId="0" applyNumberFormat="1" applyFont="1" applyFill="1" applyBorder="1" applyAlignment="1">
      <alignment horizontal="center" vertical="top" wrapText="1"/>
    </xf>
    <xf numFmtId="164" fontId="5" fillId="2" borderId="1" xfId="0" applyNumberFormat="1" applyFont="1" applyFill="1" applyBorder="1" applyAlignment="1">
      <alignment horizontal="left" vertical="top" wrapText="1"/>
    </xf>
    <xf numFmtId="165" fontId="5" fillId="2" borderId="1" xfId="0" applyNumberFormat="1" applyFont="1" applyFill="1" applyBorder="1" applyAlignment="1">
      <alignment horizontal="center" vertical="top" wrapText="1"/>
    </xf>
    <xf numFmtId="49" fontId="5" fillId="2" borderId="3" xfId="0" applyNumberFormat="1" applyFont="1" applyFill="1" applyBorder="1" applyAlignment="1">
      <alignment horizontal="left" vertical="center" wrapText="1"/>
    </xf>
    <xf numFmtId="3" fontId="5" fillId="2" borderId="1" xfId="0" applyNumberFormat="1" applyFont="1" applyFill="1" applyBorder="1" applyAlignment="1">
      <alignment horizontal="center" vertical="top" wrapText="1"/>
    </xf>
    <xf numFmtId="0" fontId="5" fillId="2" borderId="1" xfId="0" applyFont="1" applyFill="1" applyBorder="1" applyAlignment="1">
      <alignment horizontal="left" vertical="top"/>
    </xf>
    <xf numFmtId="49" fontId="5" fillId="2" borderId="0" xfId="0" applyNumberFormat="1" applyFont="1" applyFill="1" applyBorder="1" applyAlignment="1">
      <alignment horizontal="left" vertical="top" wrapText="1"/>
    </xf>
    <xf numFmtId="0" fontId="5" fillId="2" borderId="1" xfId="0" applyNumberFormat="1" applyFont="1" applyFill="1" applyBorder="1" applyAlignment="1">
      <alignment horizontal="left" vertical="top" wrapText="1"/>
    </xf>
    <xf numFmtId="164" fontId="5" fillId="2" borderId="5" xfId="0" applyNumberFormat="1" applyFont="1" applyFill="1" applyBorder="1" applyAlignment="1">
      <alignment horizontal="left" vertical="top" wrapText="1"/>
    </xf>
    <xf numFmtId="164" fontId="5" fillId="2" borderId="6" xfId="0" applyNumberFormat="1" applyFont="1" applyFill="1" applyBorder="1" applyAlignment="1">
      <alignment horizontal="left" vertical="top" wrapText="1"/>
    </xf>
    <xf numFmtId="0" fontId="5" fillId="2" borderId="5" xfId="0" applyFont="1" applyFill="1" applyBorder="1" applyAlignment="1">
      <alignment horizontal="center" vertical="top"/>
    </xf>
    <xf numFmtId="0" fontId="5" fillId="2" borderId="6" xfId="0" applyFont="1" applyFill="1" applyBorder="1" applyAlignment="1">
      <alignment horizontal="center" vertical="top"/>
    </xf>
    <xf numFmtId="0" fontId="5" fillId="2" borderId="5" xfId="0" applyFont="1" applyFill="1" applyBorder="1" applyAlignment="1">
      <alignment horizontal="center" vertical="top" wrapText="1"/>
    </xf>
    <xf numFmtId="0" fontId="5" fillId="2" borderId="6" xfId="0" applyFont="1" applyFill="1" applyBorder="1" applyAlignment="1">
      <alignment horizontal="center" vertical="top" wrapText="1"/>
    </xf>
    <xf numFmtId="164" fontId="5" fillId="2" borderId="5" xfId="0" applyNumberFormat="1" applyFont="1" applyFill="1" applyBorder="1" applyAlignment="1">
      <alignment horizontal="center" vertical="top" wrapText="1"/>
    </xf>
    <xf numFmtId="164" fontId="5" fillId="2" borderId="7" xfId="0" applyNumberFormat="1" applyFont="1" applyFill="1" applyBorder="1" applyAlignment="1">
      <alignment horizontal="center" vertical="top" wrapText="1"/>
    </xf>
    <xf numFmtId="164" fontId="5" fillId="2" borderId="6" xfId="0" applyNumberFormat="1" applyFont="1" applyFill="1" applyBorder="1" applyAlignment="1">
      <alignment horizontal="center" vertical="top" wrapText="1"/>
    </xf>
    <xf numFmtId="164" fontId="5" fillId="2" borderId="1" xfId="0" applyNumberFormat="1" applyFont="1" applyFill="1" applyBorder="1" applyAlignment="1">
      <alignment horizontal="center" vertical="top"/>
    </xf>
    <xf numFmtId="164" fontId="5" fillId="2" borderId="7" xfId="0" applyNumberFormat="1" applyFont="1" applyFill="1" applyBorder="1" applyAlignment="1">
      <alignment horizontal="left" vertical="top" wrapText="1"/>
    </xf>
    <xf numFmtId="164" fontId="49" fillId="2" borderId="5" xfId="0" applyNumberFormat="1" applyFont="1" applyFill="1" applyBorder="1" applyAlignment="1">
      <alignment horizontal="left" vertical="top" wrapText="1"/>
    </xf>
    <xf numFmtId="164" fontId="49" fillId="2" borderId="6" xfId="0" applyNumberFormat="1" applyFont="1" applyFill="1" applyBorder="1" applyAlignment="1">
      <alignment horizontal="left" vertical="top" wrapText="1"/>
    </xf>
    <xf numFmtId="164" fontId="44" fillId="2" borderId="5" xfId="0" applyNumberFormat="1" applyFont="1" applyFill="1" applyBorder="1" applyAlignment="1">
      <alignment horizontal="left" vertical="top" wrapText="1"/>
    </xf>
    <xf numFmtId="164" fontId="44" fillId="2" borderId="6" xfId="0" applyNumberFormat="1" applyFont="1" applyFill="1" applyBorder="1" applyAlignment="1">
      <alignment horizontal="left" vertical="top" wrapText="1"/>
    </xf>
    <xf numFmtId="3" fontId="5" fillId="2" borderId="5" xfId="0" applyNumberFormat="1" applyFont="1" applyFill="1" applyBorder="1" applyAlignment="1">
      <alignment horizontal="center" vertical="top"/>
    </xf>
    <xf numFmtId="3" fontId="5" fillId="2" borderId="6" xfId="0" applyNumberFormat="1" applyFont="1" applyFill="1" applyBorder="1" applyAlignment="1">
      <alignment horizontal="center" vertical="top"/>
    </xf>
    <xf numFmtId="164" fontId="11" fillId="2" borderId="5" xfId="0" applyNumberFormat="1" applyFont="1" applyFill="1" applyBorder="1" applyAlignment="1">
      <alignment horizontal="center" vertical="top"/>
    </xf>
    <xf numFmtId="164" fontId="11" fillId="2" borderId="6" xfId="0" applyNumberFormat="1" applyFont="1" applyFill="1" applyBorder="1" applyAlignment="1">
      <alignment horizontal="center" vertical="top"/>
    </xf>
    <xf numFmtId="0" fontId="5" fillId="2" borderId="5" xfId="0" applyFont="1" applyFill="1" applyBorder="1" applyAlignment="1">
      <alignment horizontal="left" vertical="top"/>
    </xf>
    <xf numFmtId="0" fontId="5" fillId="2" borderId="6" xfId="0" applyFont="1" applyFill="1" applyBorder="1" applyAlignment="1">
      <alignment horizontal="left" vertical="top"/>
    </xf>
    <xf numFmtId="0" fontId="47" fillId="2" borderId="0" xfId="0" applyFont="1" applyFill="1" applyAlignment="1">
      <alignment horizontal="left" wrapText="1"/>
    </xf>
    <xf numFmtId="0" fontId="39" fillId="2" borderId="0" xfId="0" applyFont="1" applyFill="1" applyAlignment="1">
      <alignment horizontal="left" wrapText="1"/>
    </xf>
    <xf numFmtId="0" fontId="16" fillId="2" borderId="0" xfId="0" applyFont="1" applyFill="1" applyAlignment="1">
      <alignment horizontal="center"/>
    </xf>
    <xf numFmtId="0" fontId="18" fillId="2" borderId="1" xfId="0" applyFont="1" applyFill="1" applyBorder="1" applyAlignment="1">
      <alignment horizontal="center" vertical="top" wrapText="1"/>
    </xf>
    <xf numFmtId="0" fontId="19" fillId="2" borderId="1" xfId="0" applyFont="1" applyFill="1" applyBorder="1" applyAlignment="1">
      <alignment horizontal="center" vertical="top" wrapText="1"/>
    </xf>
    <xf numFmtId="0" fontId="19" fillId="2" borderId="1" xfId="0" applyFont="1" applyFill="1" applyBorder="1" applyAlignment="1">
      <alignment horizontal="center" vertical="top"/>
    </xf>
    <xf numFmtId="49" fontId="16" fillId="2" borderId="0" xfId="0" applyNumberFormat="1" applyFont="1" applyFill="1" applyBorder="1" applyAlignment="1">
      <alignment horizontal="left" wrapText="1"/>
    </xf>
    <xf numFmtId="0" fontId="0" fillId="2" borderId="0" xfId="0" applyFill="1" applyAlignment="1">
      <alignment horizontal="center"/>
    </xf>
    <xf numFmtId="0" fontId="21" fillId="2" borderId="1" xfId="0" applyFont="1" applyFill="1" applyBorder="1" applyAlignment="1">
      <alignment horizontal="center" vertical="top" wrapText="1"/>
    </xf>
    <xf numFmtId="0" fontId="36" fillId="2" borderId="0" xfId="0" applyFont="1" applyFill="1" applyBorder="1" applyAlignment="1">
      <alignment horizontal="left" wrapText="1"/>
    </xf>
    <xf numFmtId="164" fontId="23" fillId="2" borderId="0" xfId="0" applyNumberFormat="1" applyFont="1" applyFill="1" applyBorder="1" applyAlignment="1">
      <alignment horizontal="right" wrapText="1"/>
    </xf>
    <xf numFmtId="0" fontId="0" fillId="2" borderId="0" xfId="0" applyFill="1" applyAlignment="1">
      <alignment horizontal="left" wrapText="1"/>
    </xf>
    <xf numFmtId="49" fontId="20" fillId="2" borderId="3" xfId="0" applyNumberFormat="1" applyFont="1" applyFill="1" applyBorder="1" applyAlignment="1">
      <alignment horizontal="left" vertical="top" wrapText="1"/>
    </xf>
    <xf numFmtId="49" fontId="20" fillId="2" borderId="0" xfId="0" applyNumberFormat="1" applyFont="1" applyFill="1" applyBorder="1" applyAlignment="1">
      <alignment horizontal="left" vertical="top" wrapText="1"/>
    </xf>
    <xf numFmtId="0" fontId="0" fillId="2" borderId="0" xfId="0" applyFill="1" applyAlignment="1">
      <alignment horizontal="left"/>
    </xf>
    <xf numFmtId="0" fontId="27" fillId="2" borderId="1" xfId="1" applyFont="1" applyFill="1" applyBorder="1" applyAlignment="1">
      <alignment horizontal="left" vertical="top" wrapText="1"/>
    </xf>
    <xf numFmtId="164" fontId="30" fillId="2" borderId="1" xfId="1" applyNumberFormat="1" applyFont="1" applyFill="1" applyBorder="1" applyAlignment="1">
      <alignment horizontal="center" vertical="top" wrapText="1"/>
    </xf>
    <xf numFmtId="14" fontId="30" fillId="2" borderId="1" xfId="1" applyNumberFormat="1" applyFont="1" applyFill="1" applyBorder="1" applyAlignment="1">
      <alignment horizontal="center" vertical="top" wrapText="1"/>
    </xf>
    <xf numFmtId="49" fontId="27" fillId="2" borderId="1" xfId="1" applyNumberFormat="1" applyFont="1" applyFill="1" applyBorder="1" applyAlignment="1">
      <alignment horizontal="center" vertical="top" wrapText="1"/>
    </xf>
    <xf numFmtId="0" fontId="27" fillId="2" borderId="1" xfId="1" applyFont="1" applyFill="1" applyBorder="1" applyAlignment="1">
      <alignment horizontal="center" vertical="top" wrapText="1"/>
    </xf>
    <xf numFmtId="0" fontId="27" fillId="2" borderId="1" xfId="1" applyFont="1" applyFill="1" applyBorder="1" applyAlignment="1">
      <alignment vertical="top" wrapText="1"/>
    </xf>
    <xf numFmtId="164" fontId="27" fillId="2" borderId="0" xfId="1" applyNumberFormat="1" applyFont="1" applyFill="1" applyAlignment="1">
      <alignment horizontal="center"/>
    </xf>
    <xf numFmtId="49" fontId="27" fillId="2" borderId="0" xfId="1" applyNumberFormat="1" applyFont="1" applyFill="1" applyBorder="1" applyAlignment="1">
      <alignment horizontal="center"/>
    </xf>
    <xf numFmtId="49" fontId="27" fillId="2" borderId="0" xfId="1" applyNumberFormat="1" applyFont="1" applyFill="1" applyBorder="1" applyAlignment="1">
      <alignment horizontal="center" wrapText="1"/>
    </xf>
    <xf numFmtId="0" fontId="27" fillId="2" borderId="1" xfId="2" applyFont="1" applyFill="1" applyBorder="1" applyAlignment="1" applyProtection="1">
      <alignment horizontal="center" vertical="top" wrapText="1"/>
    </xf>
    <xf numFmtId="0" fontId="27" fillId="2" borderId="1" xfId="2" applyFont="1" applyFill="1" applyBorder="1" applyAlignment="1" applyProtection="1">
      <alignment vertical="top" wrapText="1"/>
    </xf>
    <xf numFmtId="0" fontId="30" fillId="2" borderId="1" xfId="1" applyFont="1" applyFill="1" applyBorder="1" applyAlignment="1">
      <alignment horizontal="center" vertical="top" wrapText="1"/>
    </xf>
    <xf numFmtId="0" fontId="32" fillId="2" borderId="1" xfId="1" applyFont="1" applyFill="1" applyBorder="1" applyAlignment="1">
      <alignment horizontal="left" vertical="top" wrapText="1"/>
    </xf>
    <xf numFmtId="164" fontId="27" fillId="2" borderId="1" xfId="1" applyNumberFormat="1" applyFont="1" applyFill="1" applyBorder="1" applyAlignment="1">
      <alignment horizontal="center" vertical="center" wrapText="1"/>
    </xf>
    <xf numFmtId="164" fontId="27" fillId="2" borderId="1" xfId="1" applyNumberFormat="1" applyFont="1" applyFill="1" applyBorder="1" applyAlignment="1">
      <alignment horizontal="center" vertical="center"/>
    </xf>
    <xf numFmtId="164" fontId="27" fillId="2" borderId="1" xfId="2" applyNumberFormat="1" applyFont="1" applyFill="1" applyBorder="1" applyAlignment="1" applyProtection="1">
      <alignment horizontal="center" vertical="top" wrapText="1"/>
    </xf>
    <xf numFmtId="14" fontId="30" fillId="2" borderId="5" xfId="1" applyNumberFormat="1" applyFont="1" applyFill="1" applyBorder="1" applyAlignment="1">
      <alignment horizontal="center" vertical="top" wrapText="1"/>
    </xf>
    <xf numFmtId="0" fontId="30" fillId="2" borderId="6" xfId="1" applyFont="1" applyFill="1" applyBorder="1" applyAlignment="1">
      <alignment horizontal="center" vertical="top" wrapText="1"/>
    </xf>
    <xf numFmtId="0" fontId="46" fillId="2" borderId="1" xfId="0" applyFont="1" applyFill="1" applyBorder="1"/>
    <xf numFmtId="49" fontId="35" fillId="2" borderId="0" xfId="1" applyNumberFormat="1" applyFont="1" applyFill="1" applyBorder="1" applyAlignment="1">
      <alignment horizontal="left" wrapText="1"/>
    </xf>
    <xf numFmtId="0" fontId="31" fillId="2" borderId="1" xfId="1" applyFont="1" applyFill="1" applyBorder="1" applyAlignment="1">
      <alignment horizontal="left" vertical="top" wrapText="1"/>
    </xf>
    <xf numFmtId="49" fontId="13" fillId="2" borderId="0" xfId="1" applyNumberFormat="1" applyFont="1" applyFill="1" applyBorder="1" applyAlignment="1">
      <alignment horizontal="left" wrapText="1"/>
    </xf>
    <xf numFmtId="49" fontId="27" fillId="2" borderId="0" xfId="1" applyNumberFormat="1" applyFont="1" applyFill="1" applyBorder="1" applyAlignment="1">
      <alignment horizontal="left" vertical="top" wrapText="1"/>
    </xf>
    <xf numFmtId="164" fontId="27" fillId="2" borderId="1" xfId="1" applyNumberFormat="1" applyFont="1" applyFill="1" applyBorder="1" applyAlignment="1">
      <alignment horizontal="center" vertical="top" wrapText="1"/>
    </xf>
    <xf numFmtId="164" fontId="27" fillId="2" borderId="1" xfId="1" applyNumberFormat="1" applyFont="1" applyFill="1" applyBorder="1" applyAlignment="1">
      <alignment vertical="top" wrapText="1"/>
    </xf>
    <xf numFmtId="0" fontId="27" fillId="2" borderId="5" xfId="0" applyFont="1" applyFill="1" applyBorder="1" applyAlignment="1">
      <alignment horizontal="center" vertical="top" wrapText="1"/>
    </xf>
    <xf numFmtId="0" fontId="27" fillId="2" borderId="6" xfId="0" applyFont="1" applyFill="1" applyBorder="1" applyAlignment="1">
      <alignment horizontal="center" vertical="top" wrapText="1"/>
    </xf>
    <xf numFmtId="49" fontId="27" fillId="2" borderId="3" xfId="1" applyNumberFormat="1" applyFont="1" applyFill="1" applyBorder="1" applyAlignment="1">
      <alignment horizontal="left" vertical="top" wrapText="1"/>
    </xf>
  </cellXfs>
  <cellStyles count="5">
    <cellStyle name="Гиперссылка" xfId="2" builtinId="8"/>
    <cellStyle name="Денежный" xfId="4" builtinId="4"/>
    <cellStyle name="Обычный" xfId="0" builtinId="0"/>
    <cellStyle name="Обычный 2" xfId="1"/>
    <cellStyle name="Обычный 2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hyperlink" Target="consultantplus://offline/ref=296E051552D9B0DE54C4EEA366783458DCF3E2F270B1C5BE0EE0B1036681A6753D4434517D8E791EF555ABSAVCG" TargetMode="Externa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7"/>
  <sheetViews>
    <sheetView tabSelected="1" view="pageBreakPreview" topLeftCell="A64" zoomScale="25" zoomScaleNormal="40" zoomScaleSheetLayoutView="25" workbookViewId="0">
      <pane xSplit="1" topLeftCell="B1" activePane="topRight" state="frozen"/>
      <selection pane="topRight" activeCell="BC9" sqref="BC9"/>
    </sheetView>
  </sheetViews>
  <sheetFormatPr defaultColWidth="9.140625" defaultRowHeight="42" x14ac:dyDescent="0.65"/>
  <cols>
    <col min="1" max="1" width="23.140625" style="79" customWidth="1"/>
    <col min="2" max="2" width="107" style="81" customWidth="1"/>
    <col min="3" max="3" width="43.85546875" style="81" customWidth="1"/>
    <col min="4" max="4" width="46" style="88" customWidth="1"/>
    <col min="5" max="5" width="43.140625" style="88" customWidth="1"/>
    <col min="6" max="6" width="16.85546875" style="88" customWidth="1"/>
    <col min="7" max="7" width="13.7109375" style="88" customWidth="1"/>
    <col min="8" max="8" width="16.5703125" style="88" customWidth="1"/>
    <col min="9" max="9" width="45.5703125" style="88" customWidth="1"/>
    <col min="10" max="10" width="13.85546875" style="88" customWidth="1"/>
    <col min="11" max="11" width="49.85546875" style="88" customWidth="1"/>
    <col min="12" max="12" width="15.5703125" style="88" customWidth="1"/>
    <col min="13" max="13" width="21.7109375" style="88" customWidth="1"/>
    <col min="14" max="14" width="41.7109375" style="88" customWidth="1"/>
    <col min="15" max="15" width="15.28515625" style="88" customWidth="1"/>
    <col min="16" max="16" width="46.7109375" style="88" customWidth="1"/>
    <col min="17" max="17" width="14.85546875" style="88" customWidth="1"/>
    <col min="18" max="18" width="14.5703125" style="88" customWidth="1"/>
    <col min="19" max="19" width="19.85546875" style="88" customWidth="1"/>
    <col min="20" max="20" width="48.7109375" style="88" customWidth="1"/>
    <col min="21" max="21" width="76.85546875" style="79" customWidth="1"/>
    <col min="22" max="22" width="12.42578125" style="79" customWidth="1"/>
    <col min="23" max="23" width="23.5703125" style="79" customWidth="1"/>
    <col min="24" max="24" width="30.28515625" style="80" customWidth="1"/>
    <col min="25" max="25" width="24" style="120" customWidth="1"/>
    <col min="26" max="26" width="29.85546875" style="80" customWidth="1"/>
    <col min="27" max="27" width="76.7109375" style="81" customWidth="1"/>
    <col min="28" max="28" width="80.7109375" style="81" hidden="1" customWidth="1"/>
    <col min="29" max="29" width="44.85546875" style="79" hidden="1" customWidth="1"/>
    <col min="30" max="30" width="22.28515625" style="79" hidden="1" customWidth="1"/>
    <col min="31" max="33" width="9.140625" style="79" hidden="1" customWidth="1"/>
    <col min="34" max="34" width="23" style="79" hidden="1" customWidth="1"/>
    <col min="35" max="35" width="42.42578125" style="79" hidden="1" customWidth="1"/>
    <col min="36" max="36" width="49.140625" style="79" hidden="1" customWidth="1"/>
    <col min="37" max="39" width="9.140625" style="79" hidden="1" customWidth="1"/>
    <col min="40" max="40" width="42" style="94" hidden="1" customWidth="1"/>
    <col min="41" max="41" width="9.140625" style="79" hidden="1" customWidth="1"/>
    <col min="42" max="16384" width="9.140625" style="79"/>
  </cols>
  <sheetData>
    <row r="1" spans="1:40" ht="61.5" x14ac:dyDescent="0.65">
      <c r="A1" s="243" t="s">
        <v>0</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122"/>
      <c r="AC1" s="1"/>
      <c r="AD1" s="2"/>
      <c r="AE1" s="2"/>
    </row>
    <row r="2" spans="1:40" ht="61.5" x14ac:dyDescent="0.65">
      <c r="A2" s="243" t="s">
        <v>1</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122"/>
      <c r="AC2" s="1"/>
      <c r="AD2" s="2"/>
      <c r="AE2" s="2"/>
    </row>
    <row r="3" spans="1:40" ht="61.5" x14ac:dyDescent="0.65">
      <c r="A3" s="243" t="s">
        <v>2</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122"/>
      <c r="AC3" s="1"/>
      <c r="AD3" s="2"/>
      <c r="AE3" s="2"/>
    </row>
    <row r="4" spans="1:40" x14ac:dyDescent="0.65">
      <c r="A4" s="244" t="s">
        <v>3</v>
      </c>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123"/>
      <c r="AC4" s="1"/>
      <c r="AD4" s="2"/>
      <c r="AE4" s="2"/>
    </row>
    <row r="5" spans="1:40" ht="61.5" x14ac:dyDescent="0.65">
      <c r="A5" s="245" t="s">
        <v>422</v>
      </c>
      <c r="B5" s="245"/>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124"/>
      <c r="AC5" s="1"/>
      <c r="AD5" s="2"/>
      <c r="AE5" s="2"/>
    </row>
    <row r="6" spans="1:40" x14ac:dyDescent="0.65">
      <c r="A6" s="3"/>
      <c r="B6" s="4"/>
      <c r="C6" s="5"/>
      <c r="D6" s="84"/>
      <c r="E6" s="84"/>
      <c r="F6" s="84"/>
      <c r="G6" s="84"/>
      <c r="H6" s="84"/>
      <c r="I6" s="84"/>
      <c r="J6" s="84"/>
      <c r="K6" s="84"/>
      <c r="L6" s="84"/>
      <c r="M6" s="84"/>
      <c r="N6" s="84"/>
      <c r="O6" s="84"/>
      <c r="P6" s="84"/>
      <c r="Q6" s="84"/>
      <c r="R6" s="84"/>
      <c r="S6" s="84"/>
      <c r="T6" s="84"/>
      <c r="U6" s="5"/>
      <c r="V6" s="3"/>
      <c r="W6" s="3"/>
      <c r="X6" s="6"/>
      <c r="Y6" s="6"/>
      <c r="Z6" s="3"/>
      <c r="AA6" s="5"/>
      <c r="AB6" s="5"/>
      <c r="AC6" s="1"/>
      <c r="AD6" s="2"/>
      <c r="AE6" s="2"/>
    </row>
    <row r="7" spans="1:40" ht="86.25" customHeight="1" x14ac:dyDescent="0.65">
      <c r="A7" s="238" t="s">
        <v>4</v>
      </c>
      <c r="B7" s="238" t="s">
        <v>5</v>
      </c>
      <c r="C7" s="238" t="s">
        <v>6</v>
      </c>
      <c r="D7" s="246" t="s">
        <v>267</v>
      </c>
      <c r="E7" s="246"/>
      <c r="F7" s="246"/>
      <c r="G7" s="246"/>
      <c r="H7" s="246"/>
      <c r="I7" s="246" t="s">
        <v>7</v>
      </c>
      <c r="J7" s="246"/>
      <c r="K7" s="246"/>
      <c r="L7" s="246"/>
      <c r="M7" s="246"/>
      <c r="N7" s="246" t="s">
        <v>8</v>
      </c>
      <c r="O7" s="246"/>
      <c r="P7" s="246"/>
      <c r="Q7" s="246"/>
      <c r="R7" s="246"/>
      <c r="S7" s="246"/>
      <c r="T7" s="246" t="s">
        <v>266</v>
      </c>
      <c r="U7" s="238" t="s">
        <v>325</v>
      </c>
      <c r="V7" s="255" t="s">
        <v>9</v>
      </c>
      <c r="W7" s="255"/>
      <c r="X7" s="255"/>
      <c r="Y7" s="255"/>
      <c r="Z7" s="238" t="s">
        <v>457</v>
      </c>
      <c r="AA7" s="237" t="s">
        <v>10</v>
      </c>
      <c r="AB7" s="179"/>
      <c r="AC7" s="99"/>
      <c r="AD7" s="19"/>
      <c r="AE7" s="2"/>
    </row>
    <row r="8" spans="1:40" ht="282" x14ac:dyDescent="0.65">
      <c r="A8" s="238"/>
      <c r="B8" s="238"/>
      <c r="C8" s="238"/>
      <c r="D8" s="246"/>
      <c r="E8" s="246"/>
      <c r="F8" s="246"/>
      <c r="G8" s="246"/>
      <c r="H8" s="246"/>
      <c r="I8" s="246" t="s">
        <v>11</v>
      </c>
      <c r="J8" s="246"/>
      <c r="K8" s="246"/>
      <c r="L8" s="246"/>
      <c r="M8" s="186" t="s">
        <v>458</v>
      </c>
      <c r="N8" s="246"/>
      <c r="O8" s="246"/>
      <c r="P8" s="246"/>
      <c r="Q8" s="246"/>
      <c r="R8" s="246"/>
      <c r="S8" s="246"/>
      <c r="T8" s="246"/>
      <c r="U8" s="238"/>
      <c r="V8" s="255"/>
      <c r="W8" s="255"/>
      <c r="X8" s="255"/>
      <c r="Y8" s="255"/>
      <c r="Z8" s="238"/>
      <c r="AA8" s="237"/>
      <c r="AB8" s="179"/>
      <c r="AC8" s="99"/>
      <c r="AD8" s="19"/>
      <c r="AE8" s="2"/>
    </row>
    <row r="9" spans="1:40" ht="327" customHeight="1" x14ac:dyDescent="0.65">
      <c r="A9" s="238"/>
      <c r="B9" s="238"/>
      <c r="C9" s="238"/>
      <c r="D9" s="85" t="s">
        <v>12</v>
      </c>
      <c r="E9" s="85" t="s">
        <v>13</v>
      </c>
      <c r="F9" s="92" t="s">
        <v>14</v>
      </c>
      <c r="G9" s="85" t="s">
        <v>15</v>
      </c>
      <c r="H9" s="85" t="s">
        <v>16</v>
      </c>
      <c r="I9" s="85" t="s">
        <v>12</v>
      </c>
      <c r="J9" s="92" t="s">
        <v>12</v>
      </c>
      <c r="K9" s="85" t="s">
        <v>13</v>
      </c>
      <c r="L9" s="92" t="s">
        <v>13</v>
      </c>
      <c r="M9" s="85" t="s">
        <v>15</v>
      </c>
      <c r="N9" s="85" t="s">
        <v>12</v>
      </c>
      <c r="O9" s="92" t="s">
        <v>12</v>
      </c>
      <c r="P9" s="85" t="s">
        <v>13</v>
      </c>
      <c r="Q9" s="92" t="s">
        <v>13</v>
      </c>
      <c r="R9" s="85" t="s">
        <v>15</v>
      </c>
      <c r="S9" s="85" t="s">
        <v>16</v>
      </c>
      <c r="T9" s="246"/>
      <c r="U9" s="238"/>
      <c r="V9" s="7" t="s">
        <v>17</v>
      </c>
      <c r="W9" s="7" t="s">
        <v>18</v>
      </c>
      <c r="X9" s="7" t="s">
        <v>19</v>
      </c>
      <c r="Y9" s="7" t="s">
        <v>20</v>
      </c>
      <c r="Z9" s="238"/>
      <c r="AA9" s="237"/>
      <c r="AB9" s="196">
        <f>N11/D11*100</f>
        <v>92.973915289405141</v>
      </c>
      <c r="AC9" s="196">
        <f>P11/E11*100</f>
        <v>97.760498690945667</v>
      </c>
      <c r="AD9" s="100" t="s">
        <v>21</v>
      </c>
      <c r="AE9" s="2"/>
    </row>
    <row r="10" spans="1:40" x14ac:dyDescent="0.65">
      <c r="A10" s="8">
        <v>1</v>
      </c>
      <c r="B10" s="8">
        <v>2</v>
      </c>
      <c r="C10" s="8">
        <v>3</v>
      </c>
      <c r="D10" s="8">
        <v>4</v>
      </c>
      <c r="E10" s="8">
        <v>5</v>
      </c>
      <c r="F10" s="8">
        <v>6</v>
      </c>
      <c r="G10" s="8">
        <v>7</v>
      </c>
      <c r="H10" s="8">
        <v>8</v>
      </c>
      <c r="I10" s="8">
        <v>9</v>
      </c>
      <c r="J10" s="8">
        <v>10</v>
      </c>
      <c r="K10" s="8">
        <v>11</v>
      </c>
      <c r="L10" s="8">
        <v>12</v>
      </c>
      <c r="M10" s="8">
        <v>13</v>
      </c>
      <c r="N10" s="8">
        <v>14</v>
      </c>
      <c r="O10" s="8">
        <v>15</v>
      </c>
      <c r="P10" s="8">
        <v>16</v>
      </c>
      <c r="Q10" s="8">
        <v>17</v>
      </c>
      <c r="R10" s="8">
        <v>18</v>
      </c>
      <c r="S10" s="8">
        <v>19</v>
      </c>
      <c r="T10" s="8">
        <v>20</v>
      </c>
      <c r="U10" s="8">
        <v>21</v>
      </c>
      <c r="V10" s="8">
        <v>22</v>
      </c>
      <c r="W10" s="8">
        <v>23</v>
      </c>
      <c r="X10" s="8">
        <v>24</v>
      </c>
      <c r="Y10" s="8">
        <v>25</v>
      </c>
      <c r="Z10" s="8">
        <v>26</v>
      </c>
      <c r="AA10" s="8">
        <v>27</v>
      </c>
      <c r="AB10" s="8"/>
      <c r="AC10" s="101"/>
      <c r="AD10" s="102"/>
      <c r="AE10" s="9"/>
    </row>
    <row r="11" spans="1:40" ht="103.5" x14ac:dyDescent="0.65">
      <c r="A11" s="10"/>
      <c r="B11" s="11" t="s">
        <v>22</v>
      </c>
      <c r="C11" s="82"/>
      <c r="D11" s="86">
        <f>D13+D14+D61+D79</f>
        <v>24277378.800000001</v>
      </c>
      <c r="E11" s="86">
        <f>E13+E14+E61+E79</f>
        <v>41869843.799999997</v>
      </c>
      <c r="F11" s="86">
        <f>F12+F14+F61+F79</f>
        <v>0</v>
      </c>
      <c r="G11" s="86">
        <f>G12+G14+G61+G79</f>
        <v>0</v>
      </c>
      <c r="H11" s="86">
        <f>H12+H14+H61+H79</f>
        <v>0</v>
      </c>
      <c r="I11" s="86">
        <f>I12+I14+I61+I79</f>
        <v>23114551.999999996</v>
      </c>
      <c r="J11" s="86">
        <f>J12+J14+J61+J79</f>
        <v>0</v>
      </c>
      <c r="K11" s="86">
        <f>K13+K14+K61+K79</f>
        <v>41781101.200000003</v>
      </c>
      <c r="L11" s="86">
        <f>L12+L14+L61+L79</f>
        <v>0</v>
      </c>
      <c r="M11" s="86">
        <f>M12+M14+M61+M79</f>
        <v>0</v>
      </c>
      <c r="N11" s="86">
        <f>N12+N14+N61+N79</f>
        <v>22571629.600000001</v>
      </c>
      <c r="O11" s="86">
        <f>O12+O14+O61+O79</f>
        <v>0</v>
      </c>
      <c r="P11" s="86">
        <f>P13+P14+P61+P79</f>
        <v>40932168.099999994</v>
      </c>
      <c r="Q11" s="86">
        <f>Q12+Q14+Q61+Q79</f>
        <v>0</v>
      </c>
      <c r="R11" s="86">
        <f>R12+R14+R61+R79</f>
        <v>0</v>
      </c>
      <c r="S11" s="86">
        <f>S12+S14+S61+S79</f>
        <v>0</v>
      </c>
      <c r="T11" s="86">
        <f>T13+T14+T61+T79</f>
        <v>14690792.520000001</v>
      </c>
      <c r="U11" s="202" t="s">
        <v>23</v>
      </c>
      <c r="V11" s="180" t="s">
        <v>23</v>
      </c>
      <c r="W11" s="180" t="s">
        <v>23</v>
      </c>
      <c r="X11" s="180" t="s">
        <v>23</v>
      </c>
      <c r="Y11" s="180" t="s">
        <v>23</v>
      </c>
      <c r="Z11" s="180" t="s">
        <v>23</v>
      </c>
      <c r="AA11" s="185" t="s">
        <v>23</v>
      </c>
      <c r="AB11" s="185"/>
      <c r="AC11" s="103"/>
      <c r="AD11" s="104">
        <f>(N11+P11)/(I11+K11)*100</f>
        <v>97.85524078829981</v>
      </c>
      <c r="AE11" s="13"/>
      <c r="AH11" s="13">
        <f>N11/I11*100</f>
        <v>97.651166243671966</v>
      </c>
      <c r="AI11" s="13">
        <f>P11/K11*100</f>
        <v>97.968140916304975</v>
      </c>
    </row>
    <row r="12" spans="1:40" ht="160.5" customHeight="1" x14ac:dyDescent="0.65">
      <c r="A12" s="180"/>
      <c r="B12" s="11" t="s">
        <v>24</v>
      </c>
      <c r="C12" s="83"/>
      <c r="D12" s="192"/>
      <c r="E12" s="192"/>
      <c r="F12" s="192"/>
      <c r="G12" s="192"/>
      <c r="H12" s="192"/>
      <c r="I12" s="192"/>
      <c r="J12" s="192"/>
      <c r="K12" s="192"/>
      <c r="L12" s="192"/>
      <c r="M12" s="192"/>
      <c r="N12" s="192"/>
      <c r="O12" s="192"/>
      <c r="P12" s="192"/>
      <c r="Q12" s="192"/>
      <c r="R12" s="192"/>
      <c r="S12" s="192"/>
      <c r="T12" s="192"/>
      <c r="U12" s="202"/>
      <c r="V12" s="180"/>
      <c r="W12" s="180"/>
      <c r="X12" s="180"/>
      <c r="Y12" s="180"/>
      <c r="Z12" s="180"/>
      <c r="AA12" s="185"/>
      <c r="AB12" s="185"/>
      <c r="AC12" s="103"/>
      <c r="AD12" s="104" t="e">
        <f>(N12+P12)/(I12+K12)*100</f>
        <v>#DIV/0!</v>
      </c>
      <c r="AE12" s="2"/>
    </row>
    <row r="13" spans="1:40" ht="409.6" customHeight="1" x14ac:dyDescent="0.65">
      <c r="A13" s="180" t="s">
        <v>25</v>
      </c>
      <c r="B13" s="179" t="s">
        <v>26</v>
      </c>
      <c r="C13" s="196" t="s">
        <v>27</v>
      </c>
      <c r="D13" s="192">
        <v>0</v>
      </c>
      <c r="E13" s="197">
        <v>1445529</v>
      </c>
      <c r="F13" s="192">
        <v>0</v>
      </c>
      <c r="G13" s="192">
        <v>0</v>
      </c>
      <c r="H13" s="192">
        <v>0</v>
      </c>
      <c r="I13" s="192">
        <v>0</v>
      </c>
      <c r="J13" s="192">
        <v>0</v>
      </c>
      <c r="K13" s="192">
        <v>1445529</v>
      </c>
      <c r="L13" s="192">
        <v>0</v>
      </c>
      <c r="M13" s="192">
        <v>0</v>
      </c>
      <c r="N13" s="192">
        <v>0</v>
      </c>
      <c r="O13" s="192">
        <v>0</v>
      </c>
      <c r="P13" s="192">
        <v>1434629.6</v>
      </c>
      <c r="Q13" s="192">
        <v>0</v>
      </c>
      <c r="R13" s="192">
        <v>0</v>
      </c>
      <c r="S13" s="192"/>
      <c r="T13" s="192">
        <v>1436966.7</v>
      </c>
      <c r="U13" s="114" t="s">
        <v>478</v>
      </c>
      <c r="V13" s="180" t="s">
        <v>23</v>
      </c>
      <c r="W13" s="180" t="s">
        <v>23</v>
      </c>
      <c r="X13" s="180" t="s">
        <v>23</v>
      </c>
      <c r="Y13" s="180" t="s">
        <v>23</v>
      </c>
      <c r="Z13" s="180" t="s">
        <v>23</v>
      </c>
      <c r="AA13" s="185" t="s">
        <v>23</v>
      </c>
      <c r="AB13" s="90"/>
      <c r="AC13" s="103">
        <f>P13-K13</f>
        <v>-10899.399999999907</v>
      </c>
      <c r="AD13" s="104"/>
      <c r="AE13" s="2"/>
      <c r="AH13" s="13">
        <f>P13/K13*100</f>
        <v>99.245992297629456</v>
      </c>
      <c r="AJ13" s="113"/>
    </row>
    <row r="14" spans="1:40" ht="103.5" x14ac:dyDescent="0.65">
      <c r="A14" s="14" t="s">
        <v>28</v>
      </c>
      <c r="B14" s="11" t="s">
        <v>29</v>
      </c>
      <c r="C14" s="82"/>
      <c r="D14" s="86">
        <f t="shared" ref="D14:T14" si="0">SUM(D15:D60)</f>
        <v>4740174.8</v>
      </c>
      <c r="E14" s="86">
        <f t="shared" si="0"/>
        <v>11325290.999999998</v>
      </c>
      <c r="F14" s="86">
        <f t="shared" si="0"/>
        <v>0</v>
      </c>
      <c r="G14" s="86">
        <f t="shared" si="0"/>
        <v>0</v>
      </c>
      <c r="H14" s="86">
        <f t="shared" si="0"/>
        <v>0</v>
      </c>
      <c r="I14" s="86">
        <f t="shared" si="0"/>
        <v>4295329.7</v>
      </c>
      <c r="J14" s="86">
        <f t="shared" si="0"/>
        <v>0</v>
      </c>
      <c r="K14" s="86">
        <f t="shared" si="0"/>
        <v>11325290.999999998</v>
      </c>
      <c r="L14" s="86">
        <f t="shared" si="0"/>
        <v>0</v>
      </c>
      <c r="M14" s="86">
        <f t="shared" si="0"/>
        <v>0</v>
      </c>
      <c r="N14" s="86">
        <f t="shared" si="0"/>
        <v>4197833</v>
      </c>
      <c r="O14" s="86">
        <f t="shared" si="0"/>
        <v>0</v>
      </c>
      <c r="P14" s="86">
        <f t="shared" si="0"/>
        <v>11035669.300000001</v>
      </c>
      <c r="Q14" s="86">
        <f t="shared" si="0"/>
        <v>0</v>
      </c>
      <c r="R14" s="86">
        <f t="shared" si="0"/>
        <v>0</v>
      </c>
      <c r="S14" s="86">
        <f t="shared" si="0"/>
        <v>0</v>
      </c>
      <c r="T14" s="86">
        <f t="shared" si="0"/>
        <v>10738631.800000003</v>
      </c>
      <c r="U14" s="15" t="s">
        <v>23</v>
      </c>
      <c r="V14" s="15" t="s">
        <v>23</v>
      </c>
      <c r="W14" s="15" t="s">
        <v>23</v>
      </c>
      <c r="X14" s="15" t="s">
        <v>23</v>
      </c>
      <c r="Y14" s="15" t="s">
        <v>23</v>
      </c>
      <c r="Z14" s="15" t="s">
        <v>23</v>
      </c>
      <c r="AA14" s="16" t="s">
        <v>23</v>
      </c>
      <c r="AB14" s="16"/>
      <c r="AC14" s="103"/>
      <c r="AD14" s="104">
        <f>(N14+P14)/(I14+K14)*100</f>
        <v>97.521747647326222</v>
      </c>
      <c r="AE14" s="17"/>
      <c r="AH14" s="13">
        <f>N14/I14*100</f>
        <v>97.73016958395533</v>
      </c>
      <c r="AI14" s="13">
        <f>P14/K14*100</f>
        <v>97.442699706347526</v>
      </c>
      <c r="AJ14" s="112"/>
      <c r="AN14" s="95"/>
    </row>
    <row r="15" spans="1:40" ht="409.6" customHeight="1" x14ac:dyDescent="0.65">
      <c r="A15" s="198" t="s">
        <v>25</v>
      </c>
      <c r="B15" s="179" t="s">
        <v>30</v>
      </c>
      <c r="C15" s="179" t="s">
        <v>27</v>
      </c>
      <c r="D15" s="192">
        <v>0</v>
      </c>
      <c r="E15" s="192">
        <v>388466.6</v>
      </c>
      <c r="F15" s="197">
        <v>0</v>
      </c>
      <c r="G15" s="192">
        <v>0</v>
      </c>
      <c r="H15" s="192">
        <v>0</v>
      </c>
      <c r="I15" s="192">
        <v>0</v>
      </c>
      <c r="J15" s="192">
        <v>0</v>
      </c>
      <c r="K15" s="192">
        <v>388466.6</v>
      </c>
      <c r="L15" s="192">
        <v>0</v>
      </c>
      <c r="M15" s="192">
        <v>0</v>
      </c>
      <c r="N15" s="192">
        <v>0</v>
      </c>
      <c r="O15" s="192">
        <v>0</v>
      </c>
      <c r="P15" s="192">
        <v>384203.1</v>
      </c>
      <c r="Q15" s="192">
        <v>0</v>
      </c>
      <c r="R15" s="192">
        <v>0</v>
      </c>
      <c r="S15" s="192">
        <v>0</v>
      </c>
      <c r="T15" s="192">
        <v>4470.2</v>
      </c>
      <c r="U15" s="205" t="s">
        <v>524</v>
      </c>
      <c r="V15" s="180"/>
      <c r="W15" s="182" t="s">
        <v>31</v>
      </c>
      <c r="X15" s="183">
        <v>2229</v>
      </c>
      <c r="Y15" s="183">
        <v>2149</v>
      </c>
      <c r="Z15" s="182" t="s">
        <v>373</v>
      </c>
      <c r="AA15" s="181" t="s">
        <v>450</v>
      </c>
      <c r="AB15" s="181"/>
      <c r="AC15" s="103">
        <f>P15-K15</f>
        <v>-4263.5</v>
      </c>
      <c r="AD15" s="19"/>
      <c r="AE15" s="2"/>
      <c r="AJ15" s="112"/>
      <c r="AN15" s="94" t="s">
        <v>284</v>
      </c>
    </row>
    <row r="16" spans="1:40" ht="409.5" customHeight="1" x14ac:dyDescent="0.65">
      <c r="A16" s="198" t="s">
        <v>33</v>
      </c>
      <c r="B16" s="179" t="s">
        <v>330</v>
      </c>
      <c r="C16" s="179" t="s">
        <v>27</v>
      </c>
      <c r="D16" s="192">
        <v>0</v>
      </c>
      <c r="E16" s="197">
        <v>3969.3</v>
      </c>
      <c r="F16" s="192">
        <v>0</v>
      </c>
      <c r="G16" s="192">
        <v>0</v>
      </c>
      <c r="H16" s="192">
        <v>0</v>
      </c>
      <c r="I16" s="192">
        <v>0</v>
      </c>
      <c r="J16" s="192">
        <v>0</v>
      </c>
      <c r="K16" s="192">
        <v>3969.3</v>
      </c>
      <c r="L16" s="192">
        <v>0</v>
      </c>
      <c r="M16" s="192">
        <v>0</v>
      </c>
      <c r="N16" s="192">
        <v>0</v>
      </c>
      <c r="O16" s="192">
        <v>0</v>
      </c>
      <c r="P16" s="192">
        <v>3733.7</v>
      </c>
      <c r="Q16" s="192">
        <v>0</v>
      </c>
      <c r="R16" s="192">
        <v>0</v>
      </c>
      <c r="S16" s="192">
        <v>0</v>
      </c>
      <c r="T16" s="192">
        <v>3733.7</v>
      </c>
      <c r="U16" s="205" t="s">
        <v>490</v>
      </c>
      <c r="V16" s="180"/>
      <c r="W16" s="182" t="s">
        <v>31</v>
      </c>
      <c r="X16" s="180">
        <v>16</v>
      </c>
      <c r="Y16" s="180">
        <v>16</v>
      </c>
      <c r="Z16" s="182" t="s">
        <v>32</v>
      </c>
      <c r="AA16" s="181"/>
      <c r="AB16" s="181"/>
      <c r="AC16" s="103">
        <f>P16-K16</f>
        <v>-235.60000000000036</v>
      </c>
      <c r="AD16" s="19"/>
      <c r="AE16" s="2"/>
      <c r="AJ16" s="113"/>
      <c r="AN16" s="94" t="s">
        <v>284</v>
      </c>
    </row>
    <row r="17" spans="1:40" ht="409.6" customHeight="1" x14ac:dyDescent="0.65">
      <c r="A17" s="198" t="s">
        <v>34</v>
      </c>
      <c r="B17" s="179" t="s">
        <v>35</v>
      </c>
      <c r="C17" s="179" t="s">
        <v>27</v>
      </c>
      <c r="D17" s="192">
        <v>0</v>
      </c>
      <c r="E17" s="192">
        <v>22793.5</v>
      </c>
      <c r="F17" s="192">
        <v>0</v>
      </c>
      <c r="G17" s="192">
        <v>0</v>
      </c>
      <c r="H17" s="192">
        <v>0</v>
      </c>
      <c r="I17" s="192">
        <v>0</v>
      </c>
      <c r="J17" s="192">
        <v>0</v>
      </c>
      <c r="K17" s="192">
        <v>22793.5</v>
      </c>
      <c r="L17" s="192">
        <v>0</v>
      </c>
      <c r="M17" s="192">
        <v>0</v>
      </c>
      <c r="N17" s="192">
        <v>0</v>
      </c>
      <c r="O17" s="192">
        <v>0</v>
      </c>
      <c r="P17" s="192">
        <v>21820.2</v>
      </c>
      <c r="Q17" s="192">
        <v>0</v>
      </c>
      <c r="R17" s="192">
        <v>0</v>
      </c>
      <c r="S17" s="192">
        <v>0</v>
      </c>
      <c r="T17" s="192">
        <v>21820.2</v>
      </c>
      <c r="U17" s="74" t="s">
        <v>491</v>
      </c>
      <c r="V17" s="18"/>
      <c r="W17" s="182" t="s">
        <v>31</v>
      </c>
      <c r="X17" s="180">
        <v>80</v>
      </c>
      <c r="Y17" s="180">
        <v>80</v>
      </c>
      <c r="Z17" s="182" t="s">
        <v>32</v>
      </c>
      <c r="AA17" s="181"/>
      <c r="AB17" s="181">
        <f>P17-K17</f>
        <v>-973.29999999999927</v>
      </c>
      <c r="AC17" s="103">
        <f t="shared" ref="AC17:AC76" si="1">P17-K17</f>
        <v>-973.29999999999927</v>
      </c>
      <c r="AD17" s="19"/>
      <c r="AE17" s="2"/>
      <c r="AJ17" s="113"/>
      <c r="AN17" s="94" t="s">
        <v>284</v>
      </c>
    </row>
    <row r="18" spans="1:40" ht="408.75" customHeight="1" x14ac:dyDescent="0.65">
      <c r="A18" s="214" t="s">
        <v>36</v>
      </c>
      <c r="B18" s="213" t="s">
        <v>331</v>
      </c>
      <c r="C18" s="213" t="s">
        <v>27</v>
      </c>
      <c r="D18" s="212">
        <v>0</v>
      </c>
      <c r="E18" s="212">
        <v>19222.2</v>
      </c>
      <c r="F18" s="212">
        <v>0</v>
      </c>
      <c r="G18" s="212">
        <v>0</v>
      </c>
      <c r="H18" s="212">
        <v>0</v>
      </c>
      <c r="I18" s="212">
        <v>0</v>
      </c>
      <c r="J18" s="212">
        <v>0</v>
      </c>
      <c r="K18" s="212">
        <v>19222.2</v>
      </c>
      <c r="L18" s="212">
        <v>0</v>
      </c>
      <c r="M18" s="212">
        <v>0</v>
      </c>
      <c r="N18" s="212">
        <v>0</v>
      </c>
      <c r="O18" s="212">
        <v>0</v>
      </c>
      <c r="P18" s="212">
        <v>18833.8</v>
      </c>
      <c r="Q18" s="212">
        <v>0</v>
      </c>
      <c r="R18" s="212">
        <v>0</v>
      </c>
      <c r="S18" s="212">
        <v>0</v>
      </c>
      <c r="T18" s="212">
        <v>277.7</v>
      </c>
      <c r="U18" s="218" t="s">
        <v>576</v>
      </c>
      <c r="V18" s="215"/>
      <c r="W18" s="216" t="s">
        <v>31</v>
      </c>
      <c r="X18" s="217">
        <v>9713</v>
      </c>
      <c r="Y18" s="217">
        <v>9732</v>
      </c>
      <c r="Z18" s="216" t="s">
        <v>32</v>
      </c>
      <c r="AA18" s="218"/>
      <c r="AB18" s="218">
        <f>P18-K18</f>
        <v>-388.40000000000146</v>
      </c>
      <c r="AC18" s="103">
        <f t="shared" si="1"/>
        <v>-388.40000000000146</v>
      </c>
      <c r="AD18" s="19"/>
      <c r="AE18" s="2"/>
      <c r="AJ18" s="212"/>
      <c r="AN18" s="94" t="s">
        <v>284</v>
      </c>
    </row>
    <row r="19" spans="1:40" ht="408.75" customHeight="1" x14ac:dyDescent="0.65">
      <c r="A19" s="198" t="s">
        <v>459</v>
      </c>
      <c r="B19" s="179" t="s">
        <v>38</v>
      </c>
      <c r="C19" s="179" t="s">
        <v>27</v>
      </c>
      <c r="D19" s="192">
        <v>159028.79999999999</v>
      </c>
      <c r="E19" s="192">
        <v>0</v>
      </c>
      <c r="F19" s="192">
        <v>0</v>
      </c>
      <c r="G19" s="192">
        <v>0</v>
      </c>
      <c r="H19" s="192">
        <v>0</v>
      </c>
      <c r="I19" s="192">
        <v>145980</v>
      </c>
      <c r="J19" s="192">
        <v>0</v>
      </c>
      <c r="K19" s="192">
        <v>0</v>
      </c>
      <c r="L19" s="192">
        <v>0</v>
      </c>
      <c r="M19" s="192">
        <v>0</v>
      </c>
      <c r="N19" s="192">
        <v>144057.5</v>
      </c>
      <c r="O19" s="192">
        <v>0</v>
      </c>
      <c r="P19" s="192">
        <v>0</v>
      </c>
      <c r="Q19" s="192">
        <v>0</v>
      </c>
      <c r="R19" s="192">
        <v>0</v>
      </c>
      <c r="S19" s="192">
        <v>0</v>
      </c>
      <c r="T19" s="192">
        <v>42.3</v>
      </c>
      <c r="U19" s="205" t="s">
        <v>577</v>
      </c>
      <c r="V19" s="180"/>
      <c r="W19" s="182" t="s">
        <v>31</v>
      </c>
      <c r="X19" s="183">
        <v>9054</v>
      </c>
      <c r="Y19" s="183">
        <v>9107</v>
      </c>
      <c r="Z19" s="182" t="s">
        <v>32</v>
      </c>
      <c r="AA19" s="181"/>
      <c r="AB19" s="181">
        <f>N19-I19</f>
        <v>-1922.5</v>
      </c>
      <c r="AC19" s="103">
        <f>N19-I19</f>
        <v>-1922.5</v>
      </c>
      <c r="AD19" s="19"/>
      <c r="AE19" s="2"/>
      <c r="AJ19" s="112"/>
      <c r="AN19" s="94" t="s">
        <v>284</v>
      </c>
    </row>
    <row r="20" spans="1:40" ht="409.6" customHeight="1" x14ac:dyDescent="0.65">
      <c r="A20" s="182" t="s">
        <v>39</v>
      </c>
      <c r="B20" s="179" t="s">
        <v>40</v>
      </c>
      <c r="C20" s="179" t="s">
        <v>27</v>
      </c>
      <c r="D20" s="192">
        <v>278.2</v>
      </c>
      <c r="E20" s="197">
        <v>0</v>
      </c>
      <c r="F20" s="192">
        <v>0</v>
      </c>
      <c r="G20" s="192">
        <v>0</v>
      </c>
      <c r="H20" s="192">
        <v>0</v>
      </c>
      <c r="I20" s="192">
        <v>278.2</v>
      </c>
      <c r="J20" s="192">
        <v>0</v>
      </c>
      <c r="K20" s="192">
        <v>0</v>
      </c>
      <c r="L20" s="192">
        <v>0</v>
      </c>
      <c r="M20" s="192">
        <v>0</v>
      </c>
      <c r="N20" s="192">
        <v>134.69999999999999</v>
      </c>
      <c r="O20" s="192">
        <v>0</v>
      </c>
      <c r="P20" s="192">
        <v>0</v>
      </c>
      <c r="Q20" s="192">
        <v>0</v>
      </c>
      <c r="R20" s="192">
        <v>0</v>
      </c>
      <c r="S20" s="192">
        <v>0</v>
      </c>
      <c r="T20" s="192">
        <v>0</v>
      </c>
      <c r="U20" s="205" t="s">
        <v>492</v>
      </c>
      <c r="V20" s="180"/>
      <c r="W20" s="182" t="s">
        <v>31</v>
      </c>
      <c r="X20" s="180">
        <v>8</v>
      </c>
      <c r="Y20" s="180">
        <v>8</v>
      </c>
      <c r="Z20" s="182" t="s">
        <v>32</v>
      </c>
      <c r="AA20" s="181"/>
      <c r="AB20" s="181">
        <f>N20-I20</f>
        <v>-143.5</v>
      </c>
      <c r="AC20" s="103">
        <f>N20-I20</f>
        <v>-143.5</v>
      </c>
      <c r="AD20" s="19"/>
      <c r="AE20" s="2"/>
      <c r="AJ20" s="112"/>
      <c r="AN20" s="94" t="s">
        <v>284</v>
      </c>
    </row>
    <row r="21" spans="1:40" ht="408.75" customHeight="1" x14ac:dyDescent="0.65">
      <c r="A21" s="182" t="s">
        <v>460</v>
      </c>
      <c r="B21" s="179" t="s">
        <v>333</v>
      </c>
      <c r="C21" s="179" t="s">
        <v>27</v>
      </c>
      <c r="D21" s="197">
        <v>0</v>
      </c>
      <c r="E21" s="197">
        <v>2705485.6</v>
      </c>
      <c r="F21" s="192">
        <v>0</v>
      </c>
      <c r="G21" s="192">
        <v>0</v>
      </c>
      <c r="H21" s="192">
        <v>0</v>
      </c>
      <c r="I21" s="192">
        <v>0</v>
      </c>
      <c r="J21" s="192">
        <v>0</v>
      </c>
      <c r="K21" s="192">
        <v>2704985.6</v>
      </c>
      <c r="L21" s="192">
        <v>0</v>
      </c>
      <c r="M21" s="192">
        <v>0</v>
      </c>
      <c r="N21" s="192">
        <v>0</v>
      </c>
      <c r="O21" s="192">
        <v>0</v>
      </c>
      <c r="P21" s="192">
        <v>2642309.2000000002</v>
      </c>
      <c r="Q21" s="192">
        <v>0</v>
      </c>
      <c r="R21" s="192">
        <v>0</v>
      </c>
      <c r="S21" s="192">
        <v>0</v>
      </c>
      <c r="T21" s="192">
        <f>38596.1+115.7+1755.2</f>
        <v>40466.999999999993</v>
      </c>
      <c r="U21" s="205" t="s">
        <v>591</v>
      </c>
      <c r="V21" s="180"/>
      <c r="W21" s="182" t="s">
        <v>31</v>
      </c>
      <c r="X21" s="183">
        <v>389853</v>
      </c>
      <c r="Y21" s="183">
        <v>390461</v>
      </c>
      <c r="Z21" s="182" t="s">
        <v>32</v>
      </c>
      <c r="AA21" s="181"/>
      <c r="AB21" s="181">
        <f>P21-K21</f>
        <v>-62676.399999999907</v>
      </c>
      <c r="AC21" s="103">
        <f t="shared" si="1"/>
        <v>-62676.399999999907</v>
      </c>
      <c r="AD21" s="19"/>
      <c r="AE21" s="98"/>
      <c r="AJ21" s="143"/>
      <c r="AN21" s="94" t="s">
        <v>284</v>
      </c>
    </row>
    <row r="22" spans="1:40" ht="409.6" customHeight="1" x14ac:dyDescent="0.65">
      <c r="A22" s="75" t="s">
        <v>43</v>
      </c>
      <c r="B22" s="179" t="s">
        <v>332</v>
      </c>
      <c r="C22" s="179" t="s">
        <v>27</v>
      </c>
      <c r="D22" s="192">
        <v>0</v>
      </c>
      <c r="E22" s="197">
        <v>1449697</v>
      </c>
      <c r="F22" s="197">
        <v>0</v>
      </c>
      <c r="G22" s="192">
        <v>0</v>
      </c>
      <c r="H22" s="192">
        <v>0</v>
      </c>
      <c r="I22" s="192">
        <v>0</v>
      </c>
      <c r="J22" s="192">
        <v>0</v>
      </c>
      <c r="K22" s="197">
        <v>1449697</v>
      </c>
      <c r="L22" s="192">
        <v>0</v>
      </c>
      <c r="M22" s="192">
        <v>0</v>
      </c>
      <c r="N22" s="192">
        <v>0</v>
      </c>
      <c r="O22" s="192">
        <v>0</v>
      </c>
      <c r="P22" s="192">
        <v>1426486.5</v>
      </c>
      <c r="Q22" s="192">
        <v>0</v>
      </c>
      <c r="R22" s="192">
        <v>0</v>
      </c>
      <c r="S22" s="192">
        <v>0</v>
      </c>
      <c r="T22" s="192">
        <v>1426486.5</v>
      </c>
      <c r="U22" s="76" t="s">
        <v>525</v>
      </c>
      <c r="V22" s="18"/>
      <c r="W22" s="74" t="s">
        <v>44</v>
      </c>
      <c r="X22" s="183">
        <v>60054</v>
      </c>
      <c r="Y22" s="183">
        <v>59036</v>
      </c>
      <c r="Z22" s="182" t="s">
        <v>373</v>
      </c>
      <c r="AA22" s="181" t="s">
        <v>428</v>
      </c>
      <c r="AB22" s="181">
        <f>P22-K22</f>
        <v>-23210.5</v>
      </c>
      <c r="AC22" s="103">
        <f t="shared" si="1"/>
        <v>-23210.5</v>
      </c>
      <c r="AD22" s="19"/>
      <c r="AE22" s="2"/>
      <c r="AJ22" s="112"/>
      <c r="AN22" s="94" t="s">
        <v>285</v>
      </c>
    </row>
    <row r="23" spans="1:40" ht="409.6" customHeight="1" x14ac:dyDescent="0.65">
      <c r="A23" s="252" t="s">
        <v>461</v>
      </c>
      <c r="B23" s="250" t="s">
        <v>334</v>
      </c>
      <c r="C23" s="250" t="s">
        <v>27</v>
      </c>
      <c r="D23" s="247">
        <v>4094382.6</v>
      </c>
      <c r="E23" s="241">
        <v>0</v>
      </c>
      <c r="F23" s="241">
        <v>0</v>
      </c>
      <c r="G23" s="247">
        <v>0</v>
      </c>
      <c r="H23" s="247">
        <v>0</v>
      </c>
      <c r="I23" s="247">
        <v>3662586.3</v>
      </c>
      <c r="J23" s="247">
        <v>0</v>
      </c>
      <c r="K23" s="247">
        <v>0</v>
      </c>
      <c r="L23" s="247">
        <v>0</v>
      </c>
      <c r="M23" s="247">
        <v>0</v>
      </c>
      <c r="N23" s="247">
        <v>3573733.9</v>
      </c>
      <c r="O23" s="247">
        <v>0</v>
      </c>
      <c r="P23" s="247">
        <v>0</v>
      </c>
      <c r="Q23" s="247">
        <v>0</v>
      </c>
      <c r="R23" s="247">
        <v>0</v>
      </c>
      <c r="S23" s="247">
        <v>0</v>
      </c>
      <c r="T23" s="190">
        <v>3573737.7</v>
      </c>
      <c r="U23" s="272" t="s">
        <v>527</v>
      </c>
      <c r="V23" s="263"/>
      <c r="W23" s="265" t="s">
        <v>31</v>
      </c>
      <c r="X23" s="276">
        <v>475384</v>
      </c>
      <c r="Y23" s="276">
        <v>488913</v>
      </c>
      <c r="Z23" s="265" t="s">
        <v>32</v>
      </c>
      <c r="AA23" s="274"/>
      <c r="AB23" s="187">
        <f>N23-I23</f>
        <v>-88852.399999999907</v>
      </c>
      <c r="AC23" s="103">
        <f>N23-I23</f>
        <v>-88852.399999999907</v>
      </c>
      <c r="AD23" s="105"/>
      <c r="AE23" s="20"/>
      <c r="AJ23" s="112"/>
      <c r="AN23" s="94" t="s">
        <v>285</v>
      </c>
    </row>
    <row r="24" spans="1:40" ht="27" customHeight="1" x14ac:dyDescent="0.65">
      <c r="A24" s="253"/>
      <c r="B24" s="251"/>
      <c r="C24" s="251"/>
      <c r="D24" s="249"/>
      <c r="E24" s="242"/>
      <c r="F24" s="242"/>
      <c r="G24" s="249"/>
      <c r="H24" s="249"/>
      <c r="I24" s="249"/>
      <c r="J24" s="249"/>
      <c r="K24" s="249"/>
      <c r="L24" s="249"/>
      <c r="M24" s="249"/>
      <c r="N24" s="249"/>
      <c r="O24" s="249"/>
      <c r="P24" s="249"/>
      <c r="Q24" s="249"/>
      <c r="R24" s="249"/>
      <c r="S24" s="249"/>
      <c r="T24" s="191"/>
      <c r="U24" s="273"/>
      <c r="V24" s="264"/>
      <c r="W24" s="266"/>
      <c r="X24" s="277"/>
      <c r="Y24" s="277"/>
      <c r="Z24" s="266"/>
      <c r="AA24" s="275"/>
      <c r="AB24" s="188"/>
      <c r="AC24" s="103">
        <f t="shared" si="1"/>
        <v>0</v>
      </c>
      <c r="AD24" s="105"/>
      <c r="AE24" s="20"/>
      <c r="AJ24" s="112"/>
    </row>
    <row r="25" spans="1:40" ht="408.75" customHeight="1" x14ac:dyDescent="0.65">
      <c r="A25" s="198" t="s">
        <v>46</v>
      </c>
      <c r="B25" s="179" t="s">
        <v>335</v>
      </c>
      <c r="C25" s="179" t="s">
        <v>27</v>
      </c>
      <c r="D25" s="192">
        <v>6022.7</v>
      </c>
      <c r="E25" s="197">
        <v>14708.5</v>
      </c>
      <c r="F25" s="197">
        <v>0</v>
      </c>
      <c r="G25" s="192">
        <v>0</v>
      </c>
      <c r="H25" s="192">
        <v>0</v>
      </c>
      <c r="I25" s="192">
        <v>6022.7</v>
      </c>
      <c r="J25" s="192">
        <v>0</v>
      </c>
      <c r="K25" s="192">
        <v>14708.5</v>
      </c>
      <c r="L25" s="192">
        <v>0</v>
      </c>
      <c r="M25" s="192">
        <v>0</v>
      </c>
      <c r="N25" s="192">
        <v>6022.7</v>
      </c>
      <c r="O25" s="192">
        <v>0</v>
      </c>
      <c r="P25" s="192">
        <v>14678.7</v>
      </c>
      <c r="Q25" s="192">
        <v>0</v>
      </c>
      <c r="R25" s="192">
        <v>0</v>
      </c>
      <c r="S25" s="192">
        <v>0</v>
      </c>
      <c r="T25" s="192">
        <v>7924.7</v>
      </c>
      <c r="U25" s="207" t="s">
        <v>493</v>
      </c>
      <c r="V25" s="180"/>
      <c r="W25" s="182" t="s">
        <v>31</v>
      </c>
      <c r="X25" s="183">
        <v>11600</v>
      </c>
      <c r="Y25" s="183">
        <v>11761</v>
      </c>
      <c r="Z25" s="182" t="s">
        <v>32</v>
      </c>
      <c r="AA25" s="193"/>
      <c r="AB25" s="181"/>
      <c r="AC25" s="103">
        <f>P25-K25</f>
        <v>-29.799999999999272</v>
      </c>
      <c r="AD25" s="19"/>
      <c r="AE25" s="2"/>
      <c r="AJ25" s="112"/>
      <c r="AN25" s="94" t="s">
        <v>285</v>
      </c>
    </row>
    <row r="26" spans="1:40" ht="409.6" customHeight="1" x14ac:dyDescent="0.65">
      <c r="A26" s="74" t="s">
        <v>47</v>
      </c>
      <c r="B26" s="179" t="s">
        <v>336</v>
      </c>
      <c r="C26" s="179" t="s">
        <v>27</v>
      </c>
      <c r="D26" s="192">
        <v>0</v>
      </c>
      <c r="E26" s="197">
        <v>3976642.2</v>
      </c>
      <c r="F26" s="197">
        <v>0</v>
      </c>
      <c r="G26" s="192">
        <v>0</v>
      </c>
      <c r="H26" s="192">
        <v>0</v>
      </c>
      <c r="I26" s="192">
        <v>0</v>
      </c>
      <c r="J26" s="192">
        <v>0</v>
      </c>
      <c r="K26" s="192">
        <v>3976642.2</v>
      </c>
      <c r="L26" s="192">
        <v>0</v>
      </c>
      <c r="M26" s="192">
        <v>0</v>
      </c>
      <c r="N26" s="192">
        <v>0</v>
      </c>
      <c r="O26" s="192">
        <v>0</v>
      </c>
      <c r="P26" s="192">
        <v>3909634.7</v>
      </c>
      <c r="Q26" s="192">
        <v>0</v>
      </c>
      <c r="R26" s="192">
        <v>0</v>
      </c>
      <c r="S26" s="192">
        <v>0</v>
      </c>
      <c r="T26" s="192">
        <v>3742584.1</v>
      </c>
      <c r="U26" s="208" t="s">
        <v>526</v>
      </c>
      <c r="V26" s="18"/>
      <c r="W26" s="74" t="s">
        <v>31</v>
      </c>
      <c r="X26" s="183">
        <v>366720</v>
      </c>
      <c r="Y26" s="183">
        <v>366890</v>
      </c>
      <c r="Z26" s="182" t="s">
        <v>32</v>
      </c>
      <c r="AA26" s="211"/>
      <c r="AB26" s="181">
        <f>P26-K26</f>
        <v>-67007.5</v>
      </c>
      <c r="AC26" s="103">
        <f t="shared" si="1"/>
        <v>-67007.5</v>
      </c>
      <c r="AD26" s="19"/>
      <c r="AE26" s="2"/>
      <c r="AJ26" s="112"/>
      <c r="AN26" s="94" t="s">
        <v>285</v>
      </c>
    </row>
    <row r="27" spans="1:40" ht="409.6" customHeight="1" x14ac:dyDescent="0.65">
      <c r="A27" s="198" t="s">
        <v>48</v>
      </c>
      <c r="B27" s="179" t="s">
        <v>337</v>
      </c>
      <c r="C27" s="179" t="s">
        <v>27</v>
      </c>
      <c r="D27" s="192">
        <v>0</v>
      </c>
      <c r="E27" s="197">
        <v>5652.5</v>
      </c>
      <c r="F27" s="197">
        <v>0</v>
      </c>
      <c r="G27" s="192">
        <v>0</v>
      </c>
      <c r="H27" s="192">
        <v>0</v>
      </c>
      <c r="I27" s="192">
        <v>0</v>
      </c>
      <c r="J27" s="192">
        <v>0</v>
      </c>
      <c r="K27" s="192">
        <v>5652.5</v>
      </c>
      <c r="L27" s="192">
        <v>0</v>
      </c>
      <c r="M27" s="192">
        <v>0</v>
      </c>
      <c r="N27" s="192">
        <v>0</v>
      </c>
      <c r="O27" s="192">
        <v>0</v>
      </c>
      <c r="P27" s="192">
        <v>5109.1000000000004</v>
      </c>
      <c r="Q27" s="192">
        <v>0</v>
      </c>
      <c r="R27" s="192">
        <v>0</v>
      </c>
      <c r="S27" s="192">
        <v>0</v>
      </c>
      <c r="T27" s="192">
        <v>75</v>
      </c>
      <c r="U27" s="205" t="s">
        <v>528</v>
      </c>
      <c r="V27" s="180"/>
      <c r="W27" s="182" t="s">
        <v>31</v>
      </c>
      <c r="X27" s="180">
        <v>620</v>
      </c>
      <c r="Y27" s="180">
        <v>620</v>
      </c>
      <c r="Z27" s="182" t="s">
        <v>32</v>
      </c>
      <c r="AA27" s="187"/>
      <c r="AB27" s="181">
        <f>P27-K27</f>
        <v>-543.39999999999964</v>
      </c>
      <c r="AC27" s="103">
        <f t="shared" si="1"/>
        <v>-543.39999999999964</v>
      </c>
      <c r="AD27" s="19"/>
      <c r="AE27" s="21"/>
      <c r="AJ27" s="143"/>
      <c r="AN27" s="94" t="s">
        <v>284</v>
      </c>
    </row>
    <row r="28" spans="1:40" ht="408.75" customHeight="1" x14ac:dyDescent="0.65">
      <c r="A28" s="198" t="s">
        <v>49</v>
      </c>
      <c r="B28" s="179" t="s">
        <v>338</v>
      </c>
      <c r="C28" s="179" t="s">
        <v>27</v>
      </c>
      <c r="D28" s="192">
        <v>0</v>
      </c>
      <c r="E28" s="197">
        <v>12275.4</v>
      </c>
      <c r="F28" s="192">
        <v>0</v>
      </c>
      <c r="G28" s="192">
        <v>0</v>
      </c>
      <c r="H28" s="192">
        <v>0</v>
      </c>
      <c r="I28" s="192">
        <v>0</v>
      </c>
      <c r="J28" s="192">
        <v>0</v>
      </c>
      <c r="K28" s="192">
        <v>12275.4</v>
      </c>
      <c r="L28" s="192">
        <v>0</v>
      </c>
      <c r="M28" s="192">
        <v>0</v>
      </c>
      <c r="N28" s="192">
        <v>0</v>
      </c>
      <c r="O28" s="192">
        <v>0</v>
      </c>
      <c r="P28" s="192">
        <v>11070.1</v>
      </c>
      <c r="Q28" s="192">
        <v>0</v>
      </c>
      <c r="R28" s="192">
        <v>0</v>
      </c>
      <c r="S28" s="192">
        <v>0</v>
      </c>
      <c r="T28" s="192">
        <v>75</v>
      </c>
      <c r="U28" s="205" t="s">
        <v>494</v>
      </c>
      <c r="V28" s="180"/>
      <c r="W28" s="182" t="s">
        <v>31</v>
      </c>
      <c r="X28" s="183">
        <v>1373</v>
      </c>
      <c r="Y28" s="183">
        <v>1376</v>
      </c>
      <c r="Z28" s="182" t="s">
        <v>32</v>
      </c>
      <c r="AA28" s="181"/>
      <c r="AB28" s="181">
        <f>P28-K28</f>
        <v>-1205.2999999999993</v>
      </c>
      <c r="AC28" s="103">
        <f t="shared" si="1"/>
        <v>-1205.2999999999993</v>
      </c>
      <c r="AD28" s="19"/>
      <c r="AE28" s="2"/>
      <c r="AJ28" s="143"/>
      <c r="AN28" s="94" t="s">
        <v>284</v>
      </c>
    </row>
    <row r="29" spans="1:40" ht="409.6" customHeight="1" x14ac:dyDescent="0.65">
      <c r="A29" s="198" t="s">
        <v>50</v>
      </c>
      <c r="B29" s="179" t="s">
        <v>51</v>
      </c>
      <c r="C29" s="179" t="s">
        <v>27</v>
      </c>
      <c r="D29" s="192">
        <v>0</v>
      </c>
      <c r="E29" s="197">
        <v>2441.1</v>
      </c>
      <c r="F29" s="192">
        <v>0</v>
      </c>
      <c r="G29" s="192">
        <v>0</v>
      </c>
      <c r="H29" s="192">
        <v>0</v>
      </c>
      <c r="I29" s="192">
        <v>0</v>
      </c>
      <c r="J29" s="192">
        <v>0</v>
      </c>
      <c r="K29" s="192">
        <v>2441.1</v>
      </c>
      <c r="L29" s="192">
        <v>0</v>
      </c>
      <c r="M29" s="192">
        <v>0</v>
      </c>
      <c r="N29" s="192">
        <v>0</v>
      </c>
      <c r="O29" s="192">
        <v>0</v>
      </c>
      <c r="P29" s="192">
        <v>1831.9</v>
      </c>
      <c r="Q29" s="192">
        <v>0</v>
      </c>
      <c r="R29" s="192">
        <v>0</v>
      </c>
      <c r="S29" s="192">
        <v>0</v>
      </c>
      <c r="T29" s="192">
        <v>17.899999999999999</v>
      </c>
      <c r="U29" s="205" t="s">
        <v>559</v>
      </c>
      <c r="V29" s="180"/>
      <c r="W29" s="182" t="s">
        <v>31</v>
      </c>
      <c r="X29" s="180">
        <v>350</v>
      </c>
      <c r="Y29" s="180">
        <v>346</v>
      </c>
      <c r="Z29" s="182" t="s">
        <v>373</v>
      </c>
      <c r="AA29" s="181" t="s">
        <v>430</v>
      </c>
      <c r="AB29" s="181">
        <f>P29-K29</f>
        <v>-609.19999999999982</v>
      </c>
      <c r="AC29" s="103">
        <f t="shared" si="1"/>
        <v>-609.19999999999982</v>
      </c>
      <c r="AD29" s="19"/>
      <c r="AE29" s="2"/>
      <c r="AJ29" s="112"/>
      <c r="AN29" s="94" t="s">
        <v>285</v>
      </c>
    </row>
    <row r="30" spans="1:40" ht="408.75" customHeight="1" x14ac:dyDescent="0.65">
      <c r="A30" s="198" t="s">
        <v>53</v>
      </c>
      <c r="B30" s="179" t="s">
        <v>277</v>
      </c>
      <c r="C30" s="179" t="s">
        <v>27</v>
      </c>
      <c r="D30" s="192">
        <v>0</v>
      </c>
      <c r="E30" s="197">
        <v>54.7</v>
      </c>
      <c r="F30" s="192">
        <v>0</v>
      </c>
      <c r="G30" s="192">
        <v>0</v>
      </c>
      <c r="H30" s="192">
        <v>0</v>
      </c>
      <c r="I30" s="192">
        <v>0</v>
      </c>
      <c r="J30" s="192">
        <v>0</v>
      </c>
      <c r="K30" s="192">
        <v>54.7</v>
      </c>
      <c r="L30" s="192">
        <v>0</v>
      </c>
      <c r="M30" s="192">
        <v>0</v>
      </c>
      <c r="N30" s="192">
        <v>0</v>
      </c>
      <c r="O30" s="192">
        <v>0</v>
      </c>
      <c r="P30" s="192">
        <v>49.3</v>
      </c>
      <c r="Q30" s="192">
        <v>0</v>
      </c>
      <c r="R30" s="192">
        <v>0</v>
      </c>
      <c r="S30" s="192">
        <v>0</v>
      </c>
      <c r="T30" s="192">
        <v>7.8</v>
      </c>
      <c r="U30" s="205" t="s">
        <v>529</v>
      </c>
      <c r="V30" s="180"/>
      <c r="W30" s="182" t="s">
        <v>31</v>
      </c>
      <c r="X30" s="180">
        <v>22</v>
      </c>
      <c r="Y30" s="180">
        <v>22</v>
      </c>
      <c r="Z30" s="182" t="s">
        <v>32</v>
      </c>
      <c r="AA30" s="181"/>
      <c r="AB30" s="181"/>
      <c r="AC30" s="103">
        <f t="shared" si="1"/>
        <v>-5.4000000000000057</v>
      </c>
      <c r="AD30" s="19"/>
      <c r="AE30" s="2"/>
      <c r="AJ30" s="112"/>
    </row>
    <row r="31" spans="1:40" ht="285.75" customHeight="1" x14ac:dyDescent="0.65">
      <c r="A31" s="238" t="s">
        <v>54</v>
      </c>
      <c r="B31" s="237" t="s">
        <v>339</v>
      </c>
      <c r="C31" s="237" t="s">
        <v>27</v>
      </c>
      <c r="D31" s="234">
        <v>1402.7</v>
      </c>
      <c r="E31" s="234">
        <v>0</v>
      </c>
      <c r="F31" s="234">
        <v>0</v>
      </c>
      <c r="G31" s="234">
        <v>0</v>
      </c>
      <c r="H31" s="234">
        <v>0</v>
      </c>
      <c r="I31" s="234">
        <v>1402.7</v>
      </c>
      <c r="J31" s="234">
        <v>0</v>
      </c>
      <c r="K31" s="234">
        <v>0</v>
      </c>
      <c r="L31" s="234">
        <v>0</v>
      </c>
      <c r="M31" s="234">
        <v>0</v>
      </c>
      <c r="N31" s="234">
        <v>1185.7</v>
      </c>
      <c r="O31" s="234">
        <v>0</v>
      </c>
      <c r="P31" s="234">
        <v>0</v>
      </c>
      <c r="Q31" s="234">
        <v>0</v>
      </c>
      <c r="R31" s="234">
        <v>0</v>
      </c>
      <c r="S31" s="234">
        <v>0</v>
      </c>
      <c r="T31" s="278">
        <v>1185.7</v>
      </c>
      <c r="U31" s="260" t="s">
        <v>530</v>
      </c>
      <c r="V31" s="239"/>
      <c r="W31" s="238" t="s">
        <v>31</v>
      </c>
      <c r="X31" s="239">
        <v>278</v>
      </c>
      <c r="Y31" s="239">
        <v>279</v>
      </c>
      <c r="Z31" s="238" t="s">
        <v>32</v>
      </c>
      <c r="AA31" s="254"/>
      <c r="AB31" s="181">
        <f>N31-I31</f>
        <v>-217</v>
      </c>
      <c r="AC31" s="103">
        <f>N31-I31</f>
        <v>-217</v>
      </c>
      <c r="AD31" s="19"/>
      <c r="AE31" s="2"/>
      <c r="AJ31" s="112"/>
      <c r="AN31" s="94" t="s">
        <v>284</v>
      </c>
    </row>
    <row r="32" spans="1:40" ht="325.5" customHeight="1" x14ac:dyDescent="0.65">
      <c r="A32" s="238"/>
      <c r="B32" s="237"/>
      <c r="C32" s="237"/>
      <c r="D32" s="234"/>
      <c r="E32" s="234"/>
      <c r="F32" s="234"/>
      <c r="G32" s="234"/>
      <c r="H32" s="234"/>
      <c r="I32" s="234"/>
      <c r="J32" s="234"/>
      <c r="K32" s="234"/>
      <c r="L32" s="234"/>
      <c r="M32" s="234"/>
      <c r="N32" s="234"/>
      <c r="O32" s="234"/>
      <c r="P32" s="234"/>
      <c r="Q32" s="234"/>
      <c r="R32" s="234"/>
      <c r="S32" s="234"/>
      <c r="T32" s="279"/>
      <c r="U32" s="260"/>
      <c r="V32" s="239"/>
      <c r="W32" s="238"/>
      <c r="X32" s="239"/>
      <c r="Y32" s="239"/>
      <c r="Z32" s="238"/>
      <c r="AA32" s="254"/>
      <c r="AB32" s="181"/>
      <c r="AC32" s="103">
        <f t="shared" si="1"/>
        <v>0</v>
      </c>
      <c r="AD32" s="19"/>
      <c r="AE32" s="2"/>
      <c r="AJ32" s="112"/>
    </row>
    <row r="33" spans="1:40" ht="408.75" customHeight="1" x14ac:dyDescent="0.65">
      <c r="A33" s="238" t="s">
        <v>55</v>
      </c>
      <c r="B33" s="237" t="s">
        <v>340</v>
      </c>
      <c r="C33" s="237" t="s">
        <v>27</v>
      </c>
      <c r="D33" s="234">
        <v>0</v>
      </c>
      <c r="E33" s="234">
        <v>1552</v>
      </c>
      <c r="F33" s="234">
        <v>0</v>
      </c>
      <c r="G33" s="234">
        <v>0</v>
      </c>
      <c r="H33" s="234">
        <v>0</v>
      </c>
      <c r="I33" s="234">
        <v>0</v>
      </c>
      <c r="J33" s="234">
        <v>0</v>
      </c>
      <c r="K33" s="234">
        <v>1552</v>
      </c>
      <c r="L33" s="234">
        <v>0</v>
      </c>
      <c r="M33" s="234">
        <v>0</v>
      </c>
      <c r="N33" s="234">
        <v>0</v>
      </c>
      <c r="O33" s="234">
        <v>0</v>
      </c>
      <c r="P33" s="234">
        <v>1396.3</v>
      </c>
      <c r="Q33" s="234">
        <v>0</v>
      </c>
      <c r="R33" s="234">
        <v>0</v>
      </c>
      <c r="S33" s="234">
        <v>0</v>
      </c>
      <c r="T33" s="247">
        <v>1396.3</v>
      </c>
      <c r="U33" s="254" t="s">
        <v>481</v>
      </c>
      <c r="V33" s="239"/>
      <c r="W33" s="238" t="s">
        <v>31</v>
      </c>
      <c r="X33" s="239">
        <v>260</v>
      </c>
      <c r="Y33" s="239">
        <v>251</v>
      </c>
      <c r="Z33" s="238" t="s">
        <v>373</v>
      </c>
      <c r="AA33" s="261" t="s">
        <v>429</v>
      </c>
      <c r="AB33" s="181">
        <f>P33-K33</f>
        <v>-155.70000000000005</v>
      </c>
      <c r="AC33" s="103">
        <f t="shared" si="1"/>
        <v>-155.70000000000005</v>
      </c>
      <c r="AD33" s="19"/>
      <c r="AE33" s="2"/>
      <c r="AJ33" s="112"/>
      <c r="AN33" s="94" t="s">
        <v>284</v>
      </c>
    </row>
    <row r="34" spans="1:40" ht="408.75" customHeight="1" x14ac:dyDescent="0.65">
      <c r="A34" s="238"/>
      <c r="B34" s="237"/>
      <c r="C34" s="237"/>
      <c r="D34" s="234"/>
      <c r="E34" s="234"/>
      <c r="F34" s="234"/>
      <c r="G34" s="234"/>
      <c r="H34" s="234"/>
      <c r="I34" s="234"/>
      <c r="J34" s="234"/>
      <c r="K34" s="234"/>
      <c r="L34" s="234"/>
      <c r="M34" s="234"/>
      <c r="N34" s="234"/>
      <c r="O34" s="234"/>
      <c r="P34" s="234"/>
      <c r="Q34" s="234"/>
      <c r="R34" s="234"/>
      <c r="S34" s="234"/>
      <c r="T34" s="248"/>
      <c r="U34" s="254"/>
      <c r="V34" s="239"/>
      <c r="W34" s="238"/>
      <c r="X34" s="239"/>
      <c r="Y34" s="239"/>
      <c r="Z34" s="238"/>
      <c r="AA34" s="271"/>
      <c r="AB34" s="181"/>
      <c r="AC34" s="103"/>
      <c r="AD34" s="19"/>
      <c r="AE34" s="2"/>
      <c r="AJ34" s="234"/>
    </row>
    <row r="35" spans="1:40" ht="99.75" customHeight="1" x14ac:dyDescent="0.65">
      <c r="A35" s="238"/>
      <c r="B35" s="237"/>
      <c r="C35" s="237"/>
      <c r="D35" s="234"/>
      <c r="E35" s="234"/>
      <c r="F35" s="234"/>
      <c r="G35" s="234"/>
      <c r="H35" s="234"/>
      <c r="I35" s="234"/>
      <c r="J35" s="234"/>
      <c r="K35" s="234"/>
      <c r="L35" s="234"/>
      <c r="M35" s="234"/>
      <c r="N35" s="234"/>
      <c r="O35" s="234"/>
      <c r="P35" s="234"/>
      <c r="Q35" s="234"/>
      <c r="R35" s="234"/>
      <c r="S35" s="234"/>
      <c r="T35" s="249"/>
      <c r="U35" s="254"/>
      <c r="V35" s="239"/>
      <c r="W35" s="238"/>
      <c r="X35" s="239"/>
      <c r="Y35" s="239"/>
      <c r="Z35" s="238"/>
      <c r="AA35" s="262"/>
      <c r="AB35" s="181"/>
      <c r="AC35" s="103"/>
      <c r="AD35" s="19"/>
      <c r="AE35" s="2"/>
      <c r="AJ35" s="234"/>
    </row>
    <row r="36" spans="1:40" ht="409.6" customHeight="1" x14ac:dyDescent="0.65">
      <c r="A36" s="198" t="s">
        <v>462</v>
      </c>
      <c r="B36" s="179" t="s">
        <v>57</v>
      </c>
      <c r="C36" s="179" t="s">
        <v>27</v>
      </c>
      <c r="D36" s="192">
        <v>0</v>
      </c>
      <c r="E36" s="192">
        <v>37583.300000000003</v>
      </c>
      <c r="F36" s="192">
        <v>0</v>
      </c>
      <c r="G36" s="192">
        <v>0</v>
      </c>
      <c r="H36" s="192">
        <v>0</v>
      </c>
      <c r="I36" s="192">
        <v>0</v>
      </c>
      <c r="J36" s="192">
        <v>0</v>
      </c>
      <c r="K36" s="192">
        <v>38083.300000000003</v>
      </c>
      <c r="L36" s="192">
        <v>0</v>
      </c>
      <c r="M36" s="192">
        <v>0</v>
      </c>
      <c r="N36" s="192">
        <v>0</v>
      </c>
      <c r="O36" s="192">
        <v>0</v>
      </c>
      <c r="P36" s="192">
        <v>37134.199999999997</v>
      </c>
      <c r="Q36" s="192">
        <v>0</v>
      </c>
      <c r="R36" s="192">
        <v>0</v>
      </c>
      <c r="S36" s="192">
        <v>0</v>
      </c>
      <c r="T36" s="192">
        <v>642.79999999999995</v>
      </c>
      <c r="U36" s="201" t="s">
        <v>480</v>
      </c>
      <c r="V36" s="180"/>
      <c r="W36" s="182" t="s">
        <v>31</v>
      </c>
      <c r="X36" s="183">
        <v>6027</v>
      </c>
      <c r="Y36" s="183">
        <v>5726</v>
      </c>
      <c r="Z36" s="182" t="s">
        <v>373</v>
      </c>
      <c r="AA36" s="181" t="s">
        <v>437</v>
      </c>
      <c r="AB36" s="181">
        <f>P36-K36</f>
        <v>-949.10000000000582</v>
      </c>
      <c r="AC36" s="103">
        <f t="shared" si="1"/>
        <v>-949.10000000000582</v>
      </c>
      <c r="AD36" s="19"/>
      <c r="AE36" s="2"/>
      <c r="AJ36" s="112">
        <f>P36-K36</f>
        <v>-949.10000000000582</v>
      </c>
      <c r="AN36" s="94" t="s">
        <v>285</v>
      </c>
    </row>
    <row r="37" spans="1:40" ht="331.5" customHeight="1" x14ac:dyDescent="0.65">
      <c r="A37" s="233" t="s">
        <v>58</v>
      </c>
      <c r="B37" s="237" t="s">
        <v>59</v>
      </c>
      <c r="C37" s="237" t="s">
        <v>27</v>
      </c>
      <c r="D37" s="234">
        <v>0</v>
      </c>
      <c r="E37" s="235">
        <v>6.9</v>
      </c>
      <c r="F37" s="234">
        <v>0</v>
      </c>
      <c r="G37" s="234">
        <v>0</v>
      </c>
      <c r="H37" s="234">
        <v>0</v>
      </c>
      <c r="I37" s="234">
        <v>0</v>
      </c>
      <c r="J37" s="234">
        <v>0</v>
      </c>
      <c r="K37" s="234">
        <v>6.9</v>
      </c>
      <c r="L37" s="234">
        <v>0</v>
      </c>
      <c r="M37" s="234">
        <v>0</v>
      </c>
      <c r="N37" s="234">
        <v>0</v>
      </c>
      <c r="O37" s="234">
        <v>0</v>
      </c>
      <c r="P37" s="234">
        <v>0</v>
      </c>
      <c r="Q37" s="234">
        <v>0</v>
      </c>
      <c r="R37" s="234">
        <v>0</v>
      </c>
      <c r="S37" s="234">
        <v>0</v>
      </c>
      <c r="T37" s="234">
        <v>0</v>
      </c>
      <c r="U37" s="237" t="s">
        <v>479</v>
      </c>
      <c r="V37" s="258"/>
      <c r="W37" s="237" t="s">
        <v>31</v>
      </c>
      <c r="X37" s="239">
        <v>1</v>
      </c>
      <c r="Y37" s="239">
        <v>0</v>
      </c>
      <c r="Z37" s="238" t="s">
        <v>373</v>
      </c>
      <c r="AA37" s="254" t="s">
        <v>438</v>
      </c>
      <c r="AB37" s="181"/>
      <c r="AC37" s="103">
        <f t="shared" si="1"/>
        <v>-6.9</v>
      </c>
      <c r="AD37" s="19"/>
      <c r="AE37" s="2"/>
      <c r="AJ37" s="112"/>
      <c r="AN37" s="94" t="s">
        <v>284</v>
      </c>
    </row>
    <row r="38" spans="1:40" ht="52.5" customHeight="1" x14ac:dyDescent="0.65">
      <c r="A38" s="233"/>
      <c r="B38" s="237"/>
      <c r="C38" s="237"/>
      <c r="D38" s="234"/>
      <c r="E38" s="235"/>
      <c r="F38" s="234"/>
      <c r="G38" s="234"/>
      <c r="H38" s="234"/>
      <c r="I38" s="234"/>
      <c r="J38" s="234"/>
      <c r="K38" s="234"/>
      <c r="L38" s="234"/>
      <c r="M38" s="234"/>
      <c r="N38" s="234"/>
      <c r="O38" s="234"/>
      <c r="P38" s="234"/>
      <c r="Q38" s="234"/>
      <c r="R38" s="234"/>
      <c r="S38" s="234"/>
      <c r="T38" s="234"/>
      <c r="U38" s="237"/>
      <c r="V38" s="258"/>
      <c r="W38" s="237"/>
      <c r="X38" s="239"/>
      <c r="Y38" s="239"/>
      <c r="Z38" s="238"/>
      <c r="AA38" s="254"/>
      <c r="AB38" s="181"/>
      <c r="AC38" s="103">
        <f t="shared" si="1"/>
        <v>0</v>
      </c>
      <c r="AD38" s="19"/>
      <c r="AE38" s="2"/>
      <c r="AJ38" s="234">
        <f>P39-K39</f>
        <v>-182.5</v>
      </c>
    </row>
    <row r="39" spans="1:40" ht="364.5" customHeight="1" x14ac:dyDescent="0.65">
      <c r="A39" s="198" t="s">
        <v>60</v>
      </c>
      <c r="B39" s="179" t="s">
        <v>61</v>
      </c>
      <c r="C39" s="179" t="s">
        <v>27</v>
      </c>
      <c r="D39" s="192">
        <v>0</v>
      </c>
      <c r="E39" s="192">
        <v>197.5</v>
      </c>
      <c r="F39" s="192">
        <v>0</v>
      </c>
      <c r="G39" s="192">
        <v>0</v>
      </c>
      <c r="H39" s="192">
        <v>0</v>
      </c>
      <c r="I39" s="192">
        <v>0</v>
      </c>
      <c r="J39" s="192">
        <v>0</v>
      </c>
      <c r="K39" s="192">
        <v>197.5</v>
      </c>
      <c r="L39" s="192">
        <v>0</v>
      </c>
      <c r="M39" s="192">
        <v>0</v>
      </c>
      <c r="N39" s="192">
        <v>0</v>
      </c>
      <c r="O39" s="192">
        <v>0</v>
      </c>
      <c r="P39" s="192">
        <v>15</v>
      </c>
      <c r="Q39" s="192">
        <v>0</v>
      </c>
      <c r="R39" s="192">
        <v>0</v>
      </c>
      <c r="S39" s="192">
        <v>0</v>
      </c>
      <c r="T39" s="192">
        <v>0</v>
      </c>
      <c r="U39" s="201" t="s">
        <v>570</v>
      </c>
      <c r="V39" s="180"/>
      <c r="W39" s="182" t="s">
        <v>31</v>
      </c>
      <c r="X39" s="180">
        <v>13</v>
      </c>
      <c r="Y39" s="180">
        <v>1</v>
      </c>
      <c r="Z39" s="182" t="s">
        <v>373</v>
      </c>
      <c r="AA39" s="181" t="s">
        <v>473</v>
      </c>
      <c r="AB39" s="181"/>
      <c r="AC39" s="103">
        <f t="shared" si="1"/>
        <v>-182.5</v>
      </c>
      <c r="AD39" s="19"/>
      <c r="AE39" s="2"/>
      <c r="AJ39" s="234"/>
      <c r="AN39" s="94" t="s">
        <v>284</v>
      </c>
    </row>
    <row r="40" spans="1:40" ht="409.5" customHeight="1" x14ac:dyDescent="0.65">
      <c r="A40" s="198" t="s">
        <v>62</v>
      </c>
      <c r="B40" s="179" t="s">
        <v>255</v>
      </c>
      <c r="C40" s="179" t="s">
        <v>27</v>
      </c>
      <c r="D40" s="192">
        <v>325321.59999999998</v>
      </c>
      <c r="E40" s="192">
        <v>0</v>
      </c>
      <c r="F40" s="192">
        <v>0</v>
      </c>
      <c r="G40" s="192">
        <v>0</v>
      </c>
      <c r="H40" s="192">
        <v>0</v>
      </c>
      <c r="I40" s="192">
        <v>325321.59999999998</v>
      </c>
      <c r="J40" s="192">
        <v>0</v>
      </c>
      <c r="K40" s="192">
        <v>0</v>
      </c>
      <c r="L40" s="192">
        <v>0</v>
      </c>
      <c r="M40" s="192">
        <v>0</v>
      </c>
      <c r="N40" s="192">
        <v>318960.3</v>
      </c>
      <c r="O40" s="192">
        <v>0</v>
      </c>
      <c r="P40" s="192">
        <v>0</v>
      </c>
      <c r="Q40" s="192">
        <v>0</v>
      </c>
      <c r="R40" s="192">
        <v>0</v>
      </c>
      <c r="S40" s="192">
        <v>0</v>
      </c>
      <c r="T40" s="192">
        <v>526.6</v>
      </c>
      <c r="U40" s="209" t="s">
        <v>532</v>
      </c>
      <c r="V40" s="180"/>
      <c r="W40" s="182" t="s">
        <v>31</v>
      </c>
      <c r="X40" s="183">
        <v>21997</v>
      </c>
      <c r="Y40" s="183">
        <v>21759</v>
      </c>
      <c r="Z40" s="182" t="s">
        <v>373</v>
      </c>
      <c r="AA40" s="181" t="s">
        <v>439</v>
      </c>
      <c r="AB40" s="181">
        <f>N40-I40</f>
        <v>-6361.2999999999884</v>
      </c>
      <c r="AC40" s="103">
        <f>N40-I40</f>
        <v>-6361.2999999999884</v>
      </c>
      <c r="AD40" s="19"/>
      <c r="AE40" s="2"/>
      <c r="AJ40" s="113">
        <f>N40-I40</f>
        <v>-6361.2999999999884</v>
      </c>
      <c r="AN40" s="94" t="s">
        <v>284</v>
      </c>
    </row>
    <row r="41" spans="1:40" ht="356.25" customHeight="1" x14ac:dyDescent="0.65">
      <c r="A41" s="75" t="s">
        <v>63</v>
      </c>
      <c r="B41" s="179" t="s">
        <v>258</v>
      </c>
      <c r="C41" s="179" t="s">
        <v>27</v>
      </c>
      <c r="D41" s="192">
        <v>0</v>
      </c>
      <c r="E41" s="192">
        <v>97684.800000000003</v>
      </c>
      <c r="F41" s="192">
        <v>0</v>
      </c>
      <c r="G41" s="192">
        <v>0</v>
      </c>
      <c r="H41" s="192">
        <v>0</v>
      </c>
      <c r="I41" s="192">
        <v>0</v>
      </c>
      <c r="J41" s="192">
        <v>0</v>
      </c>
      <c r="K41" s="192">
        <v>97684.800000000003</v>
      </c>
      <c r="L41" s="192">
        <v>0</v>
      </c>
      <c r="M41" s="192">
        <v>0</v>
      </c>
      <c r="N41" s="192">
        <v>0</v>
      </c>
      <c r="O41" s="192">
        <v>0</v>
      </c>
      <c r="P41" s="192">
        <v>96389.5</v>
      </c>
      <c r="Q41" s="192">
        <v>0</v>
      </c>
      <c r="R41" s="192">
        <v>0</v>
      </c>
      <c r="S41" s="192">
        <v>0</v>
      </c>
      <c r="T41" s="192">
        <v>1268.3</v>
      </c>
      <c r="U41" s="77" t="s">
        <v>531</v>
      </c>
      <c r="V41" s="74"/>
      <c r="W41" s="74" t="s">
        <v>31</v>
      </c>
      <c r="X41" s="180">
        <v>175</v>
      </c>
      <c r="Y41" s="180">
        <v>172</v>
      </c>
      <c r="Z41" s="182" t="s">
        <v>373</v>
      </c>
      <c r="AA41" s="181" t="s">
        <v>474</v>
      </c>
      <c r="AB41" s="181">
        <f>P41-K41</f>
        <v>-1295.3000000000029</v>
      </c>
      <c r="AC41" s="103">
        <f t="shared" si="1"/>
        <v>-1295.3000000000029</v>
      </c>
      <c r="AD41" s="19"/>
      <c r="AE41" s="2"/>
      <c r="AJ41" s="112">
        <f>P41-K41</f>
        <v>-1295.3000000000029</v>
      </c>
      <c r="AN41" s="94" t="s">
        <v>284</v>
      </c>
    </row>
    <row r="42" spans="1:40" ht="408.75" customHeight="1" x14ac:dyDescent="0.65">
      <c r="A42" s="233" t="s">
        <v>64</v>
      </c>
      <c r="B42" s="237" t="s">
        <v>253</v>
      </c>
      <c r="C42" s="237" t="s">
        <v>27</v>
      </c>
      <c r="D42" s="234">
        <v>0</v>
      </c>
      <c r="E42" s="235">
        <v>1480.6</v>
      </c>
      <c r="F42" s="234">
        <v>0</v>
      </c>
      <c r="G42" s="234">
        <v>0</v>
      </c>
      <c r="H42" s="234">
        <v>0</v>
      </c>
      <c r="I42" s="234">
        <v>0</v>
      </c>
      <c r="J42" s="234">
        <v>0</v>
      </c>
      <c r="K42" s="234">
        <v>1480.6</v>
      </c>
      <c r="L42" s="234">
        <v>0</v>
      </c>
      <c r="M42" s="234">
        <v>0</v>
      </c>
      <c r="N42" s="234">
        <v>0</v>
      </c>
      <c r="O42" s="234">
        <v>0</v>
      </c>
      <c r="P42" s="234">
        <v>1355.9</v>
      </c>
      <c r="Q42" s="234">
        <v>0</v>
      </c>
      <c r="R42" s="234">
        <v>0</v>
      </c>
      <c r="S42" s="234">
        <v>0</v>
      </c>
      <c r="T42" s="234">
        <v>1355.9</v>
      </c>
      <c r="U42" s="260" t="s">
        <v>434</v>
      </c>
      <c r="V42" s="238"/>
      <c r="W42" s="239" t="s">
        <v>31</v>
      </c>
      <c r="X42" s="239">
        <v>6</v>
      </c>
      <c r="Y42" s="239">
        <v>4</v>
      </c>
      <c r="Z42" s="238" t="s">
        <v>373</v>
      </c>
      <c r="AA42" s="237" t="s">
        <v>431</v>
      </c>
      <c r="AB42" s="181">
        <f>P42-K42</f>
        <v>-124.69999999999982</v>
      </c>
      <c r="AC42" s="103">
        <f t="shared" si="1"/>
        <v>-124.69999999999982</v>
      </c>
      <c r="AD42" s="19"/>
      <c r="AE42" s="2"/>
      <c r="AJ42" s="112">
        <f>P42-K42</f>
        <v>-124.69999999999982</v>
      </c>
      <c r="AN42" s="94" t="s">
        <v>285</v>
      </c>
    </row>
    <row r="43" spans="1:40" ht="54" customHeight="1" x14ac:dyDescent="0.65">
      <c r="A43" s="233"/>
      <c r="B43" s="237"/>
      <c r="C43" s="237"/>
      <c r="D43" s="234"/>
      <c r="E43" s="235"/>
      <c r="F43" s="234"/>
      <c r="G43" s="234"/>
      <c r="H43" s="234"/>
      <c r="I43" s="234"/>
      <c r="J43" s="234"/>
      <c r="K43" s="234"/>
      <c r="L43" s="234"/>
      <c r="M43" s="234"/>
      <c r="N43" s="234"/>
      <c r="O43" s="234"/>
      <c r="P43" s="234"/>
      <c r="Q43" s="234"/>
      <c r="R43" s="234"/>
      <c r="S43" s="234"/>
      <c r="T43" s="234"/>
      <c r="U43" s="260"/>
      <c r="V43" s="238"/>
      <c r="W43" s="239"/>
      <c r="X43" s="239"/>
      <c r="Y43" s="239"/>
      <c r="Z43" s="238"/>
      <c r="AA43" s="237"/>
      <c r="AB43" s="179"/>
      <c r="AC43" s="103">
        <f t="shared" si="1"/>
        <v>0</v>
      </c>
      <c r="AD43" s="19"/>
      <c r="AE43" s="2"/>
      <c r="AJ43" s="112"/>
    </row>
    <row r="44" spans="1:40" ht="408.75" customHeight="1" x14ac:dyDescent="0.65">
      <c r="A44" s="233" t="s">
        <v>65</v>
      </c>
      <c r="B44" s="237" t="s">
        <v>341</v>
      </c>
      <c r="C44" s="237" t="s">
        <v>27</v>
      </c>
      <c r="D44" s="234">
        <v>0</v>
      </c>
      <c r="E44" s="235">
        <v>17539.2</v>
      </c>
      <c r="F44" s="234">
        <v>0</v>
      </c>
      <c r="G44" s="234">
        <v>0</v>
      </c>
      <c r="H44" s="234">
        <v>0</v>
      </c>
      <c r="I44" s="234">
        <v>0</v>
      </c>
      <c r="J44" s="234">
        <v>0</v>
      </c>
      <c r="K44" s="234">
        <v>17539.2</v>
      </c>
      <c r="L44" s="234">
        <v>0</v>
      </c>
      <c r="M44" s="234">
        <v>0</v>
      </c>
      <c r="N44" s="234">
        <v>0</v>
      </c>
      <c r="O44" s="234">
        <v>0</v>
      </c>
      <c r="P44" s="234">
        <v>17158.7</v>
      </c>
      <c r="Q44" s="234">
        <v>0</v>
      </c>
      <c r="R44" s="234">
        <v>0</v>
      </c>
      <c r="S44" s="234">
        <v>0</v>
      </c>
      <c r="T44" s="234">
        <v>238.7</v>
      </c>
      <c r="U44" s="260" t="s">
        <v>572</v>
      </c>
      <c r="V44" s="238"/>
      <c r="W44" s="239" t="s">
        <v>31</v>
      </c>
      <c r="X44" s="239">
        <v>48</v>
      </c>
      <c r="Y44" s="239">
        <v>46</v>
      </c>
      <c r="Z44" s="238" t="s">
        <v>373</v>
      </c>
      <c r="AA44" s="250" t="s">
        <v>432</v>
      </c>
      <c r="AB44" s="187">
        <f>P44-K44</f>
        <v>-380.5</v>
      </c>
      <c r="AC44" s="103">
        <f t="shared" si="1"/>
        <v>-380.5</v>
      </c>
      <c r="AD44" s="19"/>
      <c r="AE44" s="2"/>
      <c r="AJ44" s="112">
        <f>P44-K44</f>
        <v>-380.5</v>
      </c>
      <c r="AN44" s="94" t="s">
        <v>284</v>
      </c>
    </row>
    <row r="45" spans="1:40" ht="86.25" customHeight="1" x14ac:dyDescent="0.65">
      <c r="A45" s="233"/>
      <c r="B45" s="237"/>
      <c r="C45" s="237"/>
      <c r="D45" s="234"/>
      <c r="E45" s="235"/>
      <c r="F45" s="234"/>
      <c r="G45" s="234"/>
      <c r="H45" s="234"/>
      <c r="I45" s="234"/>
      <c r="J45" s="234"/>
      <c r="K45" s="234"/>
      <c r="L45" s="234"/>
      <c r="M45" s="234"/>
      <c r="N45" s="234"/>
      <c r="O45" s="234"/>
      <c r="P45" s="234"/>
      <c r="Q45" s="234"/>
      <c r="R45" s="234"/>
      <c r="S45" s="234"/>
      <c r="T45" s="234"/>
      <c r="U45" s="260"/>
      <c r="V45" s="238"/>
      <c r="W45" s="239"/>
      <c r="X45" s="239"/>
      <c r="Y45" s="239"/>
      <c r="Z45" s="238"/>
      <c r="AA45" s="251"/>
      <c r="AB45" s="178"/>
      <c r="AC45" s="103"/>
      <c r="AD45" s="19"/>
      <c r="AE45" s="2"/>
      <c r="AJ45" s="112"/>
    </row>
    <row r="46" spans="1:40" ht="409.5" customHeight="1" x14ac:dyDescent="0.65">
      <c r="A46" s="75" t="s">
        <v>66</v>
      </c>
      <c r="B46" s="179" t="s">
        <v>314</v>
      </c>
      <c r="C46" s="179" t="s">
        <v>27</v>
      </c>
      <c r="D46" s="192">
        <v>0</v>
      </c>
      <c r="E46" s="197">
        <v>209.6</v>
      </c>
      <c r="F46" s="192">
        <v>0</v>
      </c>
      <c r="G46" s="192">
        <v>0</v>
      </c>
      <c r="H46" s="192">
        <v>0</v>
      </c>
      <c r="I46" s="192">
        <v>0</v>
      </c>
      <c r="J46" s="192">
        <v>0</v>
      </c>
      <c r="K46" s="192">
        <v>209.6</v>
      </c>
      <c r="L46" s="192">
        <v>0</v>
      </c>
      <c r="M46" s="192">
        <v>0</v>
      </c>
      <c r="N46" s="192">
        <v>0</v>
      </c>
      <c r="O46" s="192">
        <v>0</v>
      </c>
      <c r="P46" s="192">
        <v>188</v>
      </c>
      <c r="Q46" s="192">
        <v>0</v>
      </c>
      <c r="R46" s="192">
        <v>0</v>
      </c>
      <c r="S46" s="192">
        <v>0</v>
      </c>
      <c r="T46" s="192">
        <v>188</v>
      </c>
      <c r="U46" s="77" t="s">
        <v>509</v>
      </c>
      <c r="V46" s="18"/>
      <c r="W46" s="74" t="s">
        <v>31</v>
      </c>
      <c r="X46" s="180">
        <v>12</v>
      </c>
      <c r="Y46" s="180">
        <v>15</v>
      </c>
      <c r="Z46" s="182" t="s">
        <v>32</v>
      </c>
      <c r="AA46" s="181"/>
      <c r="AB46" s="181">
        <f>P46-K46</f>
        <v>-21.599999999999994</v>
      </c>
      <c r="AC46" s="103">
        <f t="shared" si="1"/>
        <v>-21.599999999999994</v>
      </c>
      <c r="AD46" s="19"/>
      <c r="AE46" s="2"/>
      <c r="AJ46" s="112">
        <f>P46-K46</f>
        <v>-21.599999999999994</v>
      </c>
      <c r="AN46" s="94" t="s">
        <v>285</v>
      </c>
    </row>
    <row r="47" spans="1:40" ht="409.6" customHeight="1" x14ac:dyDescent="0.65">
      <c r="A47" s="233" t="s">
        <v>67</v>
      </c>
      <c r="B47" s="237" t="s">
        <v>342</v>
      </c>
      <c r="C47" s="237" t="s">
        <v>27</v>
      </c>
      <c r="D47" s="234">
        <v>0</v>
      </c>
      <c r="E47" s="235">
        <v>46978.5</v>
      </c>
      <c r="F47" s="234">
        <v>0</v>
      </c>
      <c r="G47" s="234">
        <v>0</v>
      </c>
      <c r="H47" s="234">
        <v>0</v>
      </c>
      <c r="I47" s="234">
        <v>0</v>
      </c>
      <c r="J47" s="234">
        <v>0</v>
      </c>
      <c r="K47" s="234">
        <v>46978.5</v>
      </c>
      <c r="L47" s="234">
        <v>0</v>
      </c>
      <c r="M47" s="234">
        <v>0</v>
      </c>
      <c r="N47" s="234">
        <v>0</v>
      </c>
      <c r="O47" s="234">
        <v>0</v>
      </c>
      <c r="P47" s="234">
        <v>46065.8</v>
      </c>
      <c r="Q47" s="234">
        <v>0</v>
      </c>
      <c r="R47" s="234">
        <v>0</v>
      </c>
      <c r="S47" s="234">
        <v>0</v>
      </c>
      <c r="T47" s="234">
        <v>46065.8</v>
      </c>
      <c r="U47" s="260" t="s">
        <v>482</v>
      </c>
      <c r="V47" s="238"/>
      <c r="W47" s="238" t="s">
        <v>31</v>
      </c>
      <c r="X47" s="240">
        <v>1456</v>
      </c>
      <c r="Y47" s="240">
        <v>1459</v>
      </c>
      <c r="Z47" s="238" t="s">
        <v>32</v>
      </c>
      <c r="AA47" s="237"/>
      <c r="AB47" s="181">
        <f>P47-K47</f>
        <v>-912.69999999999709</v>
      </c>
      <c r="AC47" s="103">
        <f t="shared" si="1"/>
        <v>-912.69999999999709</v>
      </c>
      <c r="AD47" s="19"/>
      <c r="AE47" s="2"/>
      <c r="AJ47" s="234">
        <f>P47-K47</f>
        <v>-912.69999999999709</v>
      </c>
      <c r="AN47" s="94" t="s">
        <v>285</v>
      </c>
    </row>
    <row r="48" spans="1:40" ht="55.5" customHeight="1" x14ac:dyDescent="0.65">
      <c r="A48" s="233"/>
      <c r="B48" s="237"/>
      <c r="C48" s="237"/>
      <c r="D48" s="234"/>
      <c r="E48" s="235"/>
      <c r="F48" s="234"/>
      <c r="G48" s="234"/>
      <c r="H48" s="234"/>
      <c r="I48" s="234"/>
      <c r="J48" s="234"/>
      <c r="K48" s="234"/>
      <c r="L48" s="234"/>
      <c r="M48" s="234"/>
      <c r="N48" s="234"/>
      <c r="O48" s="234"/>
      <c r="P48" s="234"/>
      <c r="Q48" s="234"/>
      <c r="R48" s="234"/>
      <c r="S48" s="234"/>
      <c r="T48" s="234"/>
      <c r="U48" s="260"/>
      <c r="V48" s="238"/>
      <c r="W48" s="238"/>
      <c r="X48" s="240"/>
      <c r="Y48" s="240"/>
      <c r="Z48" s="238"/>
      <c r="AA48" s="237"/>
      <c r="AB48" s="179"/>
      <c r="AC48" s="103">
        <f t="shared" si="1"/>
        <v>0</v>
      </c>
      <c r="AD48" s="19"/>
      <c r="AE48" s="2"/>
      <c r="AJ48" s="234"/>
    </row>
    <row r="49" spans="1:40" ht="404.25" customHeight="1" x14ac:dyDescent="0.65">
      <c r="A49" s="238" t="s">
        <v>68</v>
      </c>
      <c r="B49" s="237" t="s">
        <v>315</v>
      </c>
      <c r="C49" s="237" t="s">
        <v>27</v>
      </c>
      <c r="D49" s="234">
        <v>0</v>
      </c>
      <c r="E49" s="235">
        <v>1326764.7</v>
      </c>
      <c r="F49" s="234">
        <v>0</v>
      </c>
      <c r="G49" s="234">
        <v>0</v>
      </c>
      <c r="H49" s="234">
        <v>0</v>
      </c>
      <c r="I49" s="234">
        <v>0</v>
      </c>
      <c r="J49" s="234">
        <v>0</v>
      </c>
      <c r="K49" s="234">
        <v>1326764.7</v>
      </c>
      <c r="L49" s="234">
        <v>0</v>
      </c>
      <c r="M49" s="234">
        <v>0</v>
      </c>
      <c r="N49" s="234">
        <v>0</v>
      </c>
      <c r="O49" s="234">
        <v>0</v>
      </c>
      <c r="P49" s="234">
        <v>1282761.5</v>
      </c>
      <c r="Q49" s="234">
        <v>0</v>
      </c>
      <c r="R49" s="234">
        <v>0</v>
      </c>
      <c r="S49" s="234">
        <v>0</v>
      </c>
      <c r="T49" s="234">
        <v>939362.5</v>
      </c>
      <c r="U49" s="237" t="s">
        <v>435</v>
      </c>
      <c r="V49" s="239"/>
      <c r="W49" s="238" t="s">
        <v>69</v>
      </c>
      <c r="X49" s="246">
        <v>397.8</v>
      </c>
      <c r="Y49" s="270">
        <v>389.7</v>
      </c>
      <c r="Z49" s="238" t="s">
        <v>373</v>
      </c>
      <c r="AA49" s="267" t="s">
        <v>440</v>
      </c>
      <c r="AB49" s="181">
        <f>P49-K49</f>
        <v>-44003.199999999953</v>
      </c>
      <c r="AC49" s="103">
        <f t="shared" si="1"/>
        <v>-44003.199999999953</v>
      </c>
      <c r="AD49" s="19"/>
      <c r="AE49" s="2"/>
      <c r="AJ49" s="234">
        <f>P49-K49</f>
        <v>-44003.199999999953</v>
      </c>
      <c r="AN49" s="94" t="s">
        <v>285</v>
      </c>
    </row>
    <row r="50" spans="1:40" ht="404.25" customHeight="1" x14ac:dyDescent="0.65">
      <c r="A50" s="238"/>
      <c r="B50" s="237"/>
      <c r="C50" s="237"/>
      <c r="D50" s="234"/>
      <c r="E50" s="235"/>
      <c r="F50" s="234"/>
      <c r="G50" s="234"/>
      <c r="H50" s="234"/>
      <c r="I50" s="234"/>
      <c r="J50" s="234"/>
      <c r="K50" s="234"/>
      <c r="L50" s="234"/>
      <c r="M50" s="234"/>
      <c r="N50" s="234"/>
      <c r="O50" s="234"/>
      <c r="P50" s="234"/>
      <c r="Q50" s="234"/>
      <c r="R50" s="234"/>
      <c r="S50" s="234"/>
      <c r="T50" s="234"/>
      <c r="U50" s="237"/>
      <c r="V50" s="239"/>
      <c r="W50" s="238"/>
      <c r="X50" s="246"/>
      <c r="Y50" s="270"/>
      <c r="Z50" s="238"/>
      <c r="AA50" s="268"/>
      <c r="AB50" s="181"/>
      <c r="AC50" s="103"/>
      <c r="AD50" s="19"/>
      <c r="AE50" s="2"/>
      <c r="AJ50" s="234"/>
    </row>
    <row r="51" spans="1:40" ht="409.6" customHeight="1" x14ac:dyDescent="0.65">
      <c r="A51" s="238"/>
      <c r="B51" s="237"/>
      <c r="C51" s="237"/>
      <c r="D51" s="234"/>
      <c r="E51" s="235"/>
      <c r="F51" s="234"/>
      <c r="G51" s="234"/>
      <c r="H51" s="234"/>
      <c r="I51" s="234"/>
      <c r="J51" s="234"/>
      <c r="K51" s="234"/>
      <c r="L51" s="234"/>
      <c r="M51" s="234"/>
      <c r="N51" s="234"/>
      <c r="O51" s="234"/>
      <c r="P51" s="234"/>
      <c r="Q51" s="234"/>
      <c r="R51" s="234"/>
      <c r="S51" s="234"/>
      <c r="T51" s="234"/>
      <c r="U51" s="237"/>
      <c r="V51" s="239"/>
      <c r="W51" s="238"/>
      <c r="X51" s="246"/>
      <c r="Y51" s="270"/>
      <c r="Z51" s="238"/>
      <c r="AA51" s="268"/>
      <c r="AB51" s="181"/>
      <c r="AC51" s="103"/>
      <c r="AD51" s="19"/>
      <c r="AE51" s="2"/>
      <c r="AJ51" s="234"/>
    </row>
    <row r="52" spans="1:40" ht="267" customHeight="1" x14ac:dyDescent="0.65">
      <c r="A52" s="238"/>
      <c r="B52" s="237"/>
      <c r="C52" s="237"/>
      <c r="D52" s="234"/>
      <c r="E52" s="235"/>
      <c r="F52" s="234"/>
      <c r="G52" s="234"/>
      <c r="H52" s="234"/>
      <c r="I52" s="234"/>
      <c r="J52" s="234"/>
      <c r="K52" s="234"/>
      <c r="L52" s="234"/>
      <c r="M52" s="234"/>
      <c r="N52" s="234"/>
      <c r="O52" s="234"/>
      <c r="P52" s="234"/>
      <c r="Q52" s="234"/>
      <c r="R52" s="234"/>
      <c r="S52" s="234"/>
      <c r="T52" s="234"/>
      <c r="U52" s="237"/>
      <c r="V52" s="239"/>
      <c r="W52" s="238"/>
      <c r="X52" s="246"/>
      <c r="Y52" s="270"/>
      <c r="Z52" s="238"/>
      <c r="AA52" s="269"/>
      <c r="AB52" s="181"/>
      <c r="AC52" s="103"/>
      <c r="AD52" s="19"/>
      <c r="AE52" s="2"/>
      <c r="AJ52" s="234"/>
    </row>
    <row r="53" spans="1:40" ht="409.6" customHeight="1" x14ac:dyDescent="0.65">
      <c r="A53" s="238" t="s">
        <v>70</v>
      </c>
      <c r="B53" s="237" t="s">
        <v>316</v>
      </c>
      <c r="C53" s="237" t="s">
        <v>27</v>
      </c>
      <c r="D53" s="234">
        <v>0</v>
      </c>
      <c r="E53" s="235">
        <v>12907</v>
      </c>
      <c r="F53" s="234">
        <v>0</v>
      </c>
      <c r="G53" s="234">
        <v>0</v>
      </c>
      <c r="H53" s="234">
        <v>0</v>
      </c>
      <c r="I53" s="234">
        <v>0</v>
      </c>
      <c r="J53" s="234">
        <v>0</v>
      </c>
      <c r="K53" s="234">
        <v>12907</v>
      </c>
      <c r="L53" s="234">
        <v>0</v>
      </c>
      <c r="M53" s="234">
        <v>0</v>
      </c>
      <c r="N53" s="234">
        <v>0</v>
      </c>
      <c r="O53" s="234">
        <v>0</v>
      </c>
      <c r="P53" s="234">
        <v>12906.9</v>
      </c>
      <c r="Q53" s="234">
        <v>0</v>
      </c>
      <c r="R53" s="234">
        <v>0</v>
      </c>
      <c r="S53" s="234">
        <v>0</v>
      </c>
      <c r="T53" s="234">
        <v>12906.9</v>
      </c>
      <c r="U53" s="237" t="s">
        <v>495</v>
      </c>
      <c r="V53" s="239"/>
      <c r="W53" s="238" t="s">
        <v>71</v>
      </c>
      <c r="X53" s="257">
        <v>25370</v>
      </c>
      <c r="Y53" s="240">
        <v>25370</v>
      </c>
      <c r="Z53" s="238" t="s">
        <v>32</v>
      </c>
      <c r="AA53" s="261"/>
      <c r="AB53" s="181">
        <f>P53-K53</f>
        <v>-0.1000000000003638</v>
      </c>
      <c r="AC53" s="103">
        <f t="shared" si="1"/>
        <v>-0.1000000000003638</v>
      </c>
      <c r="AD53" s="19"/>
      <c r="AE53" s="2"/>
      <c r="AJ53" s="234">
        <f>P53-K53</f>
        <v>-0.1000000000003638</v>
      </c>
      <c r="AN53" s="94" t="s">
        <v>285</v>
      </c>
    </row>
    <row r="54" spans="1:40" ht="59.25" customHeight="1" x14ac:dyDescent="0.65">
      <c r="A54" s="238"/>
      <c r="B54" s="237"/>
      <c r="C54" s="237"/>
      <c r="D54" s="234"/>
      <c r="E54" s="235"/>
      <c r="F54" s="234"/>
      <c r="G54" s="234"/>
      <c r="H54" s="234"/>
      <c r="I54" s="234"/>
      <c r="J54" s="234"/>
      <c r="K54" s="234"/>
      <c r="L54" s="234"/>
      <c r="M54" s="234"/>
      <c r="N54" s="234"/>
      <c r="O54" s="234"/>
      <c r="P54" s="234"/>
      <c r="Q54" s="234"/>
      <c r="R54" s="234"/>
      <c r="S54" s="234"/>
      <c r="T54" s="234"/>
      <c r="U54" s="237"/>
      <c r="V54" s="239"/>
      <c r="W54" s="238"/>
      <c r="X54" s="257"/>
      <c r="Y54" s="240"/>
      <c r="Z54" s="238"/>
      <c r="AA54" s="262"/>
      <c r="AB54" s="181"/>
      <c r="AC54" s="103"/>
      <c r="AD54" s="19"/>
      <c r="AE54" s="2"/>
      <c r="AJ54" s="234"/>
    </row>
    <row r="55" spans="1:40" ht="409.6" customHeight="1" x14ac:dyDescent="0.65">
      <c r="A55" s="182" t="s">
        <v>324</v>
      </c>
      <c r="B55" s="179" t="s">
        <v>323</v>
      </c>
      <c r="C55" s="179" t="s">
        <v>27</v>
      </c>
      <c r="D55" s="192">
        <v>0</v>
      </c>
      <c r="E55" s="197">
        <v>782336.4</v>
      </c>
      <c r="F55" s="197">
        <v>0</v>
      </c>
      <c r="G55" s="192">
        <v>0</v>
      </c>
      <c r="H55" s="192">
        <v>0</v>
      </c>
      <c r="I55" s="192">
        <v>0</v>
      </c>
      <c r="J55" s="192">
        <v>0</v>
      </c>
      <c r="K55" s="192">
        <v>782336.4</v>
      </c>
      <c r="L55" s="192">
        <v>0</v>
      </c>
      <c r="M55" s="192">
        <v>0</v>
      </c>
      <c r="N55" s="192">
        <v>0</v>
      </c>
      <c r="O55" s="192">
        <v>0</v>
      </c>
      <c r="P55" s="192">
        <v>752638.6</v>
      </c>
      <c r="Q55" s="192">
        <v>0</v>
      </c>
      <c r="R55" s="192">
        <v>0</v>
      </c>
      <c r="S55" s="192">
        <v>0</v>
      </c>
      <c r="T55" s="192">
        <v>752639.2</v>
      </c>
      <c r="U55" s="203" t="s">
        <v>573</v>
      </c>
      <c r="V55" s="180"/>
      <c r="W55" s="182" t="s">
        <v>31</v>
      </c>
      <c r="X55" s="183">
        <v>78000</v>
      </c>
      <c r="Y55" s="183">
        <v>85845</v>
      </c>
      <c r="Z55" s="182" t="s">
        <v>32</v>
      </c>
      <c r="AA55" s="181"/>
      <c r="AB55" s="181">
        <f>P55-K55</f>
        <v>-29697.800000000047</v>
      </c>
      <c r="AC55" s="103">
        <f t="shared" si="1"/>
        <v>-29697.800000000047</v>
      </c>
      <c r="AD55" s="19"/>
      <c r="AE55" s="2"/>
      <c r="AJ55" s="112">
        <f>P55-K55</f>
        <v>-29697.800000000047</v>
      </c>
      <c r="AN55" s="94" t="s">
        <v>284</v>
      </c>
    </row>
    <row r="56" spans="1:40" ht="409.6" customHeight="1" x14ac:dyDescent="0.65">
      <c r="A56" s="74" t="s">
        <v>471</v>
      </c>
      <c r="B56" s="179" t="s">
        <v>72</v>
      </c>
      <c r="C56" s="179" t="s">
        <v>27</v>
      </c>
      <c r="D56" s="192">
        <v>0</v>
      </c>
      <c r="E56" s="197">
        <v>137.6</v>
      </c>
      <c r="F56" s="197">
        <v>0</v>
      </c>
      <c r="G56" s="192">
        <v>0</v>
      </c>
      <c r="H56" s="192">
        <v>0</v>
      </c>
      <c r="I56" s="192">
        <v>0</v>
      </c>
      <c r="J56" s="192">
        <v>0</v>
      </c>
      <c r="K56" s="192">
        <v>137.6</v>
      </c>
      <c r="L56" s="192">
        <v>0</v>
      </c>
      <c r="M56" s="192">
        <v>0</v>
      </c>
      <c r="N56" s="192">
        <v>0</v>
      </c>
      <c r="O56" s="192">
        <v>0</v>
      </c>
      <c r="P56" s="192">
        <v>137.4</v>
      </c>
      <c r="Q56" s="192">
        <v>0</v>
      </c>
      <c r="R56" s="192">
        <v>0</v>
      </c>
      <c r="S56" s="192">
        <v>0</v>
      </c>
      <c r="T56" s="192">
        <v>1.9</v>
      </c>
      <c r="U56" s="77" t="s">
        <v>475</v>
      </c>
      <c r="V56" s="18"/>
      <c r="W56" s="74" t="s">
        <v>31</v>
      </c>
      <c r="X56" s="183">
        <v>136</v>
      </c>
      <c r="Y56" s="183">
        <v>136</v>
      </c>
      <c r="Z56" s="182" t="s">
        <v>32</v>
      </c>
      <c r="AA56" s="181"/>
      <c r="AB56" s="181">
        <f>P56-K56</f>
        <v>-0.19999999999998863</v>
      </c>
      <c r="AC56" s="103">
        <f t="shared" si="1"/>
        <v>-0.19999999999998863</v>
      </c>
      <c r="AD56" s="19"/>
      <c r="AE56" s="2"/>
      <c r="AJ56" s="112">
        <f>P56-K56</f>
        <v>-0.19999999999998863</v>
      </c>
      <c r="AN56" s="94" t="s">
        <v>284</v>
      </c>
    </row>
    <row r="57" spans="1:40" ht="409.5" customHeight="1" x14ac:dyDescent="0.65">
      <c r="A57" s="74" t="s">
        <v>278</v>
      </c>
      <c r="B57" s="179" t="s">
        <v>370</v>
      </c>
      <c r="C57" s="179" t="s">
        <v>27</v>
      </c>
      <c r="D57" s="192">
        <v>60049.5</v>
      </c>
      <c r="E57" s="197">
        <v>18537.2</v>
      </c>
      <c r="F57" s="197">
        <v>0</v>
      </c>
      <c r="G57" s="192">
        <v>0</v>
      </c>
      <c r="H57" s="192">
        <v>0</v>
      </c>
      <c r="I57" s="192">
        <v>60049.5</v>
      </c>
      <c r="J57" s="192">
        <v>0</v>
      </c>
      <c r="K57" s="192">
        <v>18537.2</v>
      </c>
      <c r="L57" s="192">
        <v>0</v>
      </c>
      <c r="M57" s="192">
        <v>0</v>
      </c>
      <c r="N57" s="192">
        <v>60049.5</v>
      </c>
      <c r="O57" s="192">
        <v>0</v>
      </c>
      <c r="P57" s="192">
        <v>8426</v>
      </c>
      <c r="Q57" s="192">
        <v>0</v>
      </c>
      <c r="R57" s="192">
        <v>0</v>
      </c>
      <c r="S57" s="192">
        <v>0</v>
      </c>
      <c r="T57" s="192">
        <v>60049.5</v>
      </c>
      <c r="U57" s="77" t="s">
        <v>587</v>
      </c>
      <c r="V57" s="18"/>
      <c r="W57" s="74" t="s">
        <v>31</v>
      </c>
      <c r="X57" s="183">
        <v>46</v>
      </c>
      <c r="Y57" s="183">
        <v>40</v>
      </c>
      <c r="Z57" s="182" t="s">
        <v>373</v>
      </c>
      <c r="AA57" s="179" t="s">
        <v>468</v>
      </c>
      <c r="AB57" s="186">
        <f>N57-K57-I57</f>
        <v>-18537.199999999997</v>
      </c>
      <c r="AC57" s="103">
        <f t="shared" si="1"/>
        <v>-10111.200000000001</v>
      </c>
      <c r="AD57" s="19"/>
      <c r="AE57" s="2"/>
      <c r="AJ57" s="112"/>
      <c r="AN57" s="94" t="s">
        <v>286</v>
      </c>
    </row>
    <row r="58" spans="1:40" ht="409.6" customHeight="1" x14ac:dyDescent="0.65">
      <c r="A58" s="198" t="s">
        <v>73</v>
      </c>
      <c r="B58" s="179" t="s">
        <v>317</v>
      </c>
      <c r="C58" s="179" t="s">
        <v>27</v>
      </c>
      <c r="D58" s="192">
        <v>56931.7</v>
      </c>
      <c r="E58" s="197">
        <v>0</v>
      </c>
      <c r="F58" s="197">
        <v>0</v>
      </c>
      <c r="G58" s="192">
        <v>0</v>
      </c>
      <c r="H58" s="192">
        <v>0</v>
      </c>
      <c r="I58" s="192">
        <v>56931.7</v>
      </c>
      <c r="J58" s="192">
        <v>0</v>
      </c>
      <c r="K58" s="192">
        <v>0</v>
      </c>
      <c r="L58" s="192">
        <v>0</v>
      </c>
      <c r="M58" s="192">
        <v>0</v>
      </c>
      <c r="N58" s="192">
        <v>56931.7</v>
      </c>
      <c r="O58" s="192">
        <v>0</v>
      </c>
      <c r="P58" s="192">
        <v>0</v>
      </c>
      <c r="Q58" s="192">
        <v>0</v>
      </c>
      <c r="R58" s="192">
        <v>0</v>
      </c>
      <c r="S58" s="192">
        <v>0</v>
      </c>
      <c r="T58" s="192">
        <v>56931.7</v>
      </c>
      <c r="U58" s="203"/>
      <c r="V58" s="180"/>
      <c r="W58" s="182" t="s">
        <v>31</v>
      </c>
      <c r="X58" s="183">
        <v>67</v>
      </c>
      <c r="Y58" s="183">
        <v>30</v>
      </c>
      <c r="Z58" s="182" t="s">
        <v>373</v>
      </c>
      <c r="AA58" s="179" t="s">
        <v>441</v>
      </c>
      <c r="AB58" s="182"/>
      <c r="AC58" s="103">
        <f>N58-I58</f>
        <v>0</v>
      </c>
      <c r="AD58" s="19"/>
      <c r="AE58" s="2"/>
      <c r="AJ58" s="112"/>
      <c r="AN58" s="94" t="s">
        <v>286</v>
      </c>
    </row>
    <row r="59" spans="1:40" ht="408.75" customHeight="1" x14ac:dyDescent="0.65">
      <c r="A59" s="198" t="s">
        <v>74</v>
      </c>
      <c r="B59" s="179" t="s">
        <v>318</v>
      </c>
      <c r="C59" s="78" t="s">
        <v>27</v>
      </c>
      <c r="D59" s="192">
        <v>36757</v>
      </c>
      <c r="E59" s="192">
        <v>0</v>
      </c>
      <c r="F59" s="192">
        <v>0</v>
      </c>
      <c r="G59" s="192">
        <v>0</v>
      </c>
      <c r="H59" s="192">
        <v>0</v>
      </c>
      <c r="I59" s="192">
        <v>36757</v>
      </c>
      <c r="J59" s="192">
        <v>0</v>
      </c>
      <c r="K59" s="192">
        <v>0</v>
      </c>
      <c r="L59" s="192">
        <v>0</v>
      </c>
      <c r="M59" s="192">
        <v>0</v>
      </c>
      <c r="N59" s="192">
        <v>36757</v>
      </c>
      <c r="O59" s="192">
        <v>0</v>
      </c>
      <c r="P59" s="192">
        <v>0</v>
      </c>
      <c r="Q59" s="192">
        <v>0</v>
      </c>
      <c r="R59" s="192">
        <v>0</v>
      </c>
      <c r="S59" s="192">
        <v>0</v>
      </c>
      <c r="T59" s="192">
        <v>36757</v>
      </c>
      <c r="U59" s="78"/>
      <c r="V59" s="198"/>
      <c r="W59" s="198" t="s">
        <v>75</v>
      </c>
      <c r="X59" s="198" t="s">
        <v>265</v>
      </c>
      <c r="Y59" s="198" t="s">
        <v>443</v>
      </c>
      <c r="Z59" s="182" t="s">
        <v>373</v>
      </c>
      <c r="AA59" s="181" t="s">
        <v>442</v>
      </c>
      <c r="AB59" s="186"/>
      <c r="AC59" s="103">
        <f>N59-I59</f>
        <v>0</v>
      </c>
      <c r="AD59" s="19"/>
      <c r="AE59" s="2"/>
      <c r="AJ59" s="112"/>
      <c r="AN59" s="94" t="s">
        <v>286</v>
      </c>
    </row>
    <row r="60" spans="1:40" ht="331.5" customHeight="1" x14ac:dyDescent="0.65">
      <c r="A60" s="198" t="s">
        <v>262</v>
      </c>
      <c r="B60" s="179" t="s">
        <v>263</v>
      </c>
      <c r="C60" s="78" t="s">
        <v>27</v>
      </c>
      <c r="D60" s="192">
        <v>0</v>
      </c>
      <c r="E60" s="192">
        <v>379967.1</v>
      </c>
      <c r="F60" s="192">
        <v>0</v>
      </c>
      <c r="G60" s="192">
        <v>0</v>
      </c>
      <c r="H60" s="192">
        <v>0</v>
      </c>
      <c r="I60" s="192">
        <v>0</v>
      </c>
      <c r="J60" s="192">
        <v>0</v>
      </c>
      <c r="K60" s="192">
        <v>379967.1</v>
      </c>
      <c r="L60" s="192">
        <v>0</v>
      </c>
      <c r="M60" s="192">
        <v>0</v>
      </c>
      <c r="N60" s="192">
        <v>0</v>
      </c>
      <c r="O60" s="192">
        <v>0</v>
      </c>
      <c r="P60" s="192">
        <v>339335.2</v>
      </c>
      <c r="Q60" s="192">
        <v>0</v>
      </c>
      <c r="R60" s="192">
        <v>0</v>
      </c>
      <c r="S60" s="192">
        <v>0</v>
      </c>
      <c r="T60" s="192">
        <v>5395.2</v>
      </c>
      <c r="U60" s="78" t="s">
        <v>496</v>
      </c>
      <c r="V60" s="198"/>
      <c r="W60" s="198" t="s">
        <v>31</v>
      </c>
      <c r="X60" s="198" t="s">
        <v>426</v>
      </c>
      <c r="Y60" s="198" t="s">
        <v>436</v>
      </c>
      <c r="Z60" s="198" t="s">
        <v>373</v>
      </c>
      <c r="AA60" s="78" t="s">
        <v>430</v>
      </c>
      <c r="AB60" s="186">
        <f>327736-454967.1</f>
        <v>-127231.09999999998</v>
      </c>
      <c r="AC60" s="103">
        <f t="shared" si="1"/>
        <v>-40631.899999999965</v>
      </c>
      <c r="AD60" s="19"/>
      <c r="AE60" s="2"/>
      <c r="AJ60" s="112">
        <f>P60-K60</f>
        <v>-40631.899999999965</v>
      </c>
      <c r="AN60" s="94" t="s">
        <v>287</v>
      </c>
    </row>
    <row r="61" spans="1:40" ht="110.25" customHeight="1" x14ac:dyDescent="0.65">
      <c r="A61" s="198" t="s">
        <v>76</v>
      </c>
      <c r="B61" s="11" t="s">
        <v>77</v>
      </c>
      <c r="C61" s="11"/>
      <c r="D61" s="86">
        <f>D62+D65+D71+D72+D74+D75+D76+D77+D73+D78</f>
        <v>0</v>
      </c>
      <c r="E61" s="86">
        <f>E62+E65+E71+E72+E74+E75+E76+E77+E73+E78</f>
        <v>11524034</v>
      </c>
      <c r="F61" s="86">
        <f>F62+F65+F71+F72+F74+F75+F76+F77+F73+F78</f>
        <v>0</v>
      </c>
      <c r="G61" s="86">
        <f>G62+G65+G71+G72+G74+G75+G76+G77+G73+G78</f>
        <v>0</v>
      </c>
      <c r="H61" s="86">
        <f>H62+H65+H71+H72+H74+H75+H76+H77+H73+H78</f>
        <v>0</v>
      </c>
      <c r="I61" s="86">
        <f>I62+I65+I71+I72+I74+I75+I76+I77+I73</f>
        <v>0</v>
      </c>
      <c r="J61" s="86">
        <f>J62+J65+J71+J72+J74+J75+J76+J77+J73</f>
        <v>0</v>
      </c>
      <c r="K61" s="86">
        <f>K62+K65+K71+K72+K74+K75+K76+K77+K73+K78</f>
        <v>11524034</v>
      </c>
      <c r="L61" s="86">
        <f>L62+L65+L71+L72+L74+L75+L76+L77+L73+L78</f>
        <v>0</v>
      </c>
      <c r="M61" s="86">
        <f>M62+M65+M71+M72+M74+M75+M76+M77+M73+M78</f>
        <v>0</v>
      </c>
      <c r="N61" s="86"/>
      <c r="O61" s="86">
        <f t="shared" ref="O61:T61" si="2">O62+O65+O71+O72+O74+O75+O76+O77+O73</f>
        <v>0</v>
      </c>
      <c r="P61" s="86">
        <f>P62+P65+P71+P72+P74+P75+P76+P77+P73</f>
        <v>11501390.899999999</v>
      </c>
      <c r="Q61" s="86">
        <f t="shared" si="2"/>
        <v>0</v>
      </c>
      <c r="R61" s="86">
        <f t="shared" si="2"/>
        <v>0</v>
      </c>
      <c r="S61" s="86">
        <f t="shared" si="2"/>
        <v>0</v>
      </c>
      <c r="T61" s="86">
        <f t="shared" si="2"/>
        <v>1702854.08</v>
      </c>
      <c r="U61" s="10" t="s">
        <v>23</v>
      </c>
      <c r="V61" s="10" t="s">
        <v>23</v>
      </c>
      <c r="W61" s="10" t="s">
        <v>23</v>
      </c>
      <c r="X61" s="10" t="s">
        <v>23</v>
      </c>
      <c r="Y61" s="10"/>
      <c r="Z61" s="10" t="s">
        <v>23</v>
      </c>
      <c r="AA61" s="24"/>
      <c r="AB61" s="24"/>
      <c r="AC61" s="103">
        <f t="shared" si="1"/>
        <v>-22643.10000000149</v>
      </c>
      <c r="AD61" s="104">
        <f>(N61+P61)/(I61+K61)*100</f>
        <v>99.803514116671295</v>
      </c>
      <c r="AE61" s="2"/>
      <c r="AH61" s="13" t="e">
        <f>N61/I61*100</f>
        <v>#DIV/0!</v>
      </c>
      <c r="AI61" s="13">
        <f>P61/K61*100</f>
        <v>99.803514116671295</v>
      </c>
      <c r="AJ61" s="234"/>
      <c r="AN61" s="95"/>
    </row>
    <row r="62" spans="1:40" ht="409.6" customHeight="1" x14ac:dyDescent="0.65">
      <c r="A62" s="198" t="s">
        <v>78</v>
      </c>
      <c r="B62" s="179" t="s">
        <v>79</v>
      </c>
      <c r="C62" s="179" t="s">
        <v>27</v>
      </c>
      <c r="D62" s="192">
        <v>0</v>
      </c>
      <c r="E62" s="197">
        <f>E63+E64</f>
        <v>21405.599999999999</v>
      </c>
      <c r="F62" s="192">
        <v>0</v>
      </c>
      <c r="G62" s="192">
        <v>0</v>
      </c>
      <c r="H62" s="192">
        <v>0</v>
      </c>
      <c r="I62" s="192">
        <v>0</v>
      </c>
      <c r="J62" s="192">
        <v>0</v>
      </c>
      <c r="K62" s="192">
        <f>K63+K64</f>
        <v>21405.599999999999</v>
      </c>
      <c r="L62" s="192">
        <v>0</v>
      </c>
      <c r="M62" s="192">
        <v>0</v>
      </c>
      <c r="N62" s="192"/>
      <c r="O62" s="192">
        <v>0</v>
      </c>
      <c r="P62" s="192">
        <f>P63+P64</f>
        <v>18231.199999999997</v>
      </c>
      <c r="Q62" s="192">
        <v>0</v>
      </c>
      <c r="R62" s="192">
        <v>0</v>
      </c>
      <c r="S62" s="192"/>
      <c r="T62" s="192">
        <f>T63+T64</f>
        <v>17846.400000000001</v>
      </c>
      <c r="U62" s="203" t="s">
        <v>584</v>
      </c>
      <c r="V62" s="180"/>
      <c r="W62" s="180" t="s">
        <v>31</v>
      </c>
      <c r="X62" s="183">
        <v>3520</v>
      </c>
      <c r="Y62" s="183">
        <v>5184</v>
      </c>
      <c r="Z62" s="182" t="s">
        <v>32</v>
      </c>
      <c r="AA62" s="179"/>
      <c r="AB62" s="179"/>
      <c r="AC62" s="103">
        <f t="shared" si="1"/>
        <v>-3174.4000000000015</v>
      </c>
      <c r="AD62" s="19"/>
      <c r="AE62" s="2"/>
      <c r="AJ62" s="234"/>
    </row>
    <row r="63" spans="1:40" s="130" customFormat="1" ht="288" customHeight="1" x14ac:dyDescent="0.65">
      <c r="A63" s="229" t="s">
        <v>25</v>
      </c>
      <c r="B63" s="179" t="s">
        <v>80</v>
      </c>
      <c r="C63" s="179" t="s">
        <v>27</v>
      </c>
      <c r="D63" s="192">
        <v>0</v>
      </c>
      <c r="E63" s="192">
        <v>10163.299999999999</v>
      </c>
      <c r="F63" s="192">
        <v>0</v>
      </c>
      <c r="G63" s="192">
        <v>0</v>
      </c>
      <c r="H63" s="192">
        <v>0</v>
      </c>
      <c r="I63" s="192">
        <v>0</v>
      </c>
      <c r="J63" s="192">
        <v>0</v>
      </c>
      <c r="K63" s="192">
        <f>9808.3+355</f>
        <v>10163.299999999999</v>
      </c>
      <c r="L63" s="192">
        <v>0</v>
      </c>
      <c r="M63" s="192">
        <v>0</v>
      </c>
      <c r="N63" s="192">
        <v>0</v>
      </c>
      <c r="O63" s="192">
        <v>0</v>
      </c>
      <c r="P63" s="192">
        <v>8587.4</v>
      </c>
      <c r="Q63" s="192">
        <v>0</v>
      </c>
      <c r="R63" s="192">
        <v>0</v>
      </c>
      <c r="S63" s="192">
        <v>0</v>
      </c>
      <c r="T63" s="192">
        <v>8594.7000000000007</v>
      </c>
      <c r="U63" s="203" t="s">
        <v>487</v>
      </c>
      <c r="V63" s="180" t="s">
        <v>23</v>
      </c>
      <c r="W63" s="180" t="s">
        <v>23</v>
      </c>
      <c r="X63" s="180">
        <v>1469</v>
      </c>
      <c r="Y63" s="180">
        <v>1810</v>
      </c>
      <c r="Z63" s="230" t="s">
        <v>32</v>
      </c>
      <c r="AA63" s="90"/>
      <c r="AB63" s="90">
        <f>P63-K63</f>
        <v>-1575.8999999999996</v>
      </c>
      <c r="AC63" s="103">
        <f t="shared" si="1"/>
        <v>-1575.8999999999996</v>
      </c>
      <c r="AD63" s="19"/>
      <c r="AE63" s="129"/>
      <c r="AJ63" s="131">
        <f>P63-K63</f>
        <v>-1575.8999999999996</v>
      </c>
      <c r="AN63" s="132"/>
    </row>
    <row r="64" spans="1:40" ht="285" customHeight="1" x14ac:dyDescent="0.65">
      <c r="A64" s="229" t="s">
        <v>81</v>
      </c>
      <c r="B64" s="179" t="s">
        <v>82</v>
      </c>
      <c r="C64" s="179" t="s">
        <v>27</v>
      </c>
      <c r="D64" s="192">
        <v>0</v>
      </c>
      <c r="E64" s="192">
        <v>11242.3</v>
      </c>
      <c r="F64" s="192">
        <v>0</v>
      </c>
      <c r="G64" s="192">
        <v>0</v>
      </c>
      <c r="H64" s="192">
        <v>0</v>
      </c>
      <c r="I64" s="192">
        <v>0</v>
      </c>
      <c r="J64" s="192">
        <v>0</v>
      </c>
      <c r="K64" s="192">
        <v>11242.3</v>
      </c>
      <c r="L64" s="192">
        <v>0</v>
      </c>
      <c r="M64" s="192">
        <v>0</v>
      </c>
      <c r="N64" s="192">
        <v>0</v>
      </c>
      <c r="O64" s="192">
        <v>0</v>
      </c>
      <c r="P64" s="192">
        <v>9643.7999999999993</v>
      </c>
      <c r="Q64" s="192">
        <v>0</v>
      </c>
      <c r="R64" s="192"/>
      <c r="S64" s="192">
        <v>0</v>
      </c>
      <c r="T64" s="192">
        <v>9251.7000000000007</v>
      </c>
      <c r="U64" s="203" t="s">
        <v>486</v>
      </c>
      <c r="V64" s="180" t="s">
        <v>23</v>
      </c>
      <c r="W64" s="180" t="s">
        <v>23</v>
      </c>
      <c r="X64" s="180">
        <v>2051</v>
      </c>
      <c r="Y64" s="180">
        <v>3374</v>
      </c>
      <c r="Z64" s="230" t="s">
        <v>32</v>
      </c>
      <c r="AA64" s="185"/>
      <c r="AB64" s="90">
        <f t="shared" ref="AB64:AB78" si="3">P64-K64</f>
        <v>-1598.5</v>
      </c>
      <c r="AC64" s="103">
        <f t="shared" si="1"/>
        <v>-1598.5</v>
      </c>
      <c r="AD64" s="19"/>
      <c r="AE64" s="2"/>
      <c r="AJ64" s="112">
        <f>P64-K64</f>
        <v>-1598.5</v>
      </c>
      <c r="AL64" s="79">
        <v>12919.7</v>
      </c>
    </row>
    <row r="65" spans="1:40" ht="288" customHeight="1" x14ac:dyDescent="0.65">
      <c r="A65" s="198" t="s">
        <v>83</v>
      </c>
      <c r="B65" s="179" t="s">
        <v>84</v>
      </c>
      <c r="C65" s="179" t="s">
        <v>27</v>
      </c>
      <c r="D65" s="192">
        <v>0</v>
      </c>
      <c r="E65" s="192">
        <v>11461526.1</v>
      </c>
      <c r="F65" s="192">
        <v>0</v>
      </c>
      <c r="G65" s="192">
        <v>0</v>
      </c>
      <c r="H65" s="192">
        <v>0</v>
      </c>
      <c r="I65" s="192">
        <v>0</v>
      </c>
      <c r="J65" s="192">
        <v>0</v>
      </c>
      <c r="K65" s="192">
        <f>K66+K67</f>
        <v>11461526.1</v>
      </c>
      <c r="L65" s="192">
        <v>0</v>
      </c>
      <c r="M65" s="192">
        <v>0</v>
      </c>
      <c r="N65" s="192">
        <v>0</v>
      </c>
      <c r="O65" s="192">
        <v>0</v>
      </c>
      <c r="P65" s="192">
        <f>P66+P67</f>
        <v>11455225</v>
      </c>
      <c r="Q65" s="192">
        <v>0</v>
      </c>
      <c r="R65" s="192">
        <v>0</v>
      </c>
      <c r="S65" s="192">
        <v>0</v>
      </c>
      <c r="T65" s="192">
        <f>T66+T68+T69+T70</f>
        <v>1663666.9800000002</v>
      </c>
      <c r="U65" s="76" t="s">
        <v>585</v>
      </c>
      <c r="V65" s="180" t="s">
        <v>23</v>
      </c>
      <c r="W65" s="180" t="s">
        <v>23</v>
      </c>
      <c r="X65" s="180" t="s">
        <v>23</v>
      </c>
      <c r="Y65" s="194"/>
      <c r="Z65" s="180" t="s">
        <v>23</v>
      </c>
      <c r="AA65" s="179"/>
      <c r="AB65" s="90">
        <f t="shared" si="3"/>
        <v>-6301.0999999996275</v>
      </c>
      <c r="AC65" s="103">
        <f t="shared" si="1"/>
        <v>-6301.0999999996275</v>
      </c>
      <c r="AD65" s="19"/>
      <c r="AE65" s="2"/>
      <c r="AJ65" s="112">
        <f>P65-K65</f>
        <v>-6301.0999999996275</v>
      </c>
      <c r="AN65" s="96"/>
    </row>
    <row r="66" spans="1:40" ht="409.6" customHeight="1" x14ac:dyDescent="0.65">
      <c r="A66" s="75" t="s">
        <v>85</v>
      </c>
      <c r="B66" s="179" t="s">
        <v>86</v>
      </c>
      <c r="C66" s="179" t="s">
        <v>27</v>
      </c>
      <c r="D66" s="192">
        <v>0</v>
      </c>
      <c r="E66" s="192">
        <v>803636.5</v>
      </c>
      <c r="F66" s="192">
        <v>0</v>
      </c>
      <c r="G66" s="192">
        <v>0</v>
      </c>
      <c r="H66" s="192">
        <v>0</v>
      </c>
      <c r="I66" s="192">
        <v>0</v>
      </c>
      <c r="J66" s="192">
        <v>0</v>
      </c>
      <c r="K66" s="192">
        <v>803636.5</v>
      </c>
      <c r="L66" s="192">
        <v>0</v>
      </c>
      <c r="M66" s="192">
        <v>0</v>
      </c>
      <c r="N66" s="192"/>
      <c r="O66" s="192">
        <v>0</v>
      </c>
      <c r="P66" s="192">
        <v>799181.1</v>
      </c>
      <c r="Q66" s="192">
        <v>0</v>
      </c>
      <c r="R66" s="192">
        <v>0</v>
      </c>
      <c r="S66" s="192">
        <v>0</v>
      </c>
      <c r="T66" s="192">
        <v>63088.800000000003</v>
      </c>
      <c r="U66" s="76" t="s">
        <v>582</v>
      </c>
      <c r="V66" s="18"/>
      <c r="W66" s="74" t="s">
        <v>87</v>
      </c>
      <c r="X66" s="180">
        <v>50</v>
      </c>
      <c r="Y66" s="180">
        <v>50</v>
      </c>
      <c r="Z66" s="182" t="s">
        <v>32</v>
      </c>
      <c r="AA66" s="179"/>
      <c r="AB66" s="90">
        <f t="shared" si="3"/>
        <v>-4455.4000000000233</v>
      </c>
      <c r="AC66" s="103">
        <f t="shared" si="1"/>
        <v>-4455.4000000000233</v>
      </c>
      <c r="AD66" s="19"/>
      <c r="AE66" s="2"/>
      <c r="AJ66" s="112">
        <f>P66-K66</f>
        <v>-4455.4000000000233</v>
      </c>
    </row>
    <row r="67" spans="1:40" ht="246.75" x14ac:dyDescent="0.65">
      <c r="A67" s="198" t="s">
        <v>88</v>
      </c>
      <c r="B67" s="179" t="s">
        <v>89</v>
      </c>
      <c r="C67" s="179" t="s">
        <v>27</v>
      </c>
      <c r="D67" s="192">
        <v>0</v>
      </c>
      <c r="E67" s="197">
        <v>10657889.6</v>
      </c>
      <c r="F67" s="197">
        <v>0</v>
      </c>
      <c r="G67" s="192">
        <v>0</v>
      </c>
      <c r="H67" s="192">
        <v>0</v>
      </c>
      <c r="I67" s="192">
        <v>0</v>
      </c>
      <c r="J67" s="192">
        <v>0</v>
      </c>
      <c r="K67" s="192">
        <f>K68+K69+K70</f>
        <v>10657889.6</v>
      </c>
      <c r="L67" s="192">
        <v>0</v>
      </c>
      <c r="M67" s="192">
        <v>0</v>
      </c>
      <c r="N67" s="192"/>
      <c r="O67" s="192">
        <v>0</v>
      </c>
      <c r="P67" s="192">
        <f>P68+P69+P70</f>
        <v>10656043.9</v>
      </c>
      <c r="Q67" s="192">
        <v>0</v>
      </c>
      <c r="R67" s="192">
        <v>0</v>
      </c>
      <c r="S67" s="192">
        <v>0</v>
      </c>
      <c r="T67" s="192">
        <f>T68+T69+T70</f>
        <v>1600578.1800000002</v>
      </c>
      <c r="U67" s="76" t="s">
        <v>485</v>
      </c>
      <c r="V67" s="180" t="s">
        <v>23</v>
      </c>
      <c r="W67" s="180" t="s">
        <v>23</v>
      </c>
      <c r="X67" s="180" t="s">
        <v>23</v>
      </c>
      <c r="Y67" s="180"/>
      <c r="Z67" s="180" t="s">
        <v>23</v>
      </c>
      <c r="AA67" s="185"/>
      <c r="AB67" s="90">
        <f t="shared" si="3"/>
        <v>-1845.6999999992549</v>
      </c>
      <c r="AC67" s="103">
        <f t="shared" si="1"/>
        <v>-1845.6999999992549</v>
      </c>
      <c r="AD67" s="19"/>
      <c r="AE67" s="2"/>
      <c r="AJ67" s="112"/>
    </row>
    <row r="68" spans="1:40" ht="358.5" customHeight="1" x14ac:dyDescent="0.65">
      <c r="A68" s="198" t="s">
        <v>90</v>
      </c>
      <c r="B68" s="179" t="s">
        <v>91</v>
      </c>
      <c r="C68" s="179" t="s">
        <v>27</v>
      </c>
      <c r="D68" s="192">
        <v>0</v>
      </c>
      <c r="E68" s="197">
        <v>10563157.300000001</v>
      </c>
      <c r="F68" s="197">
        <v>0</v>
      </c>
      <c r="G68" s="192">
        <v>0</v>
      </c>
      <c r="H68" s="192">
        <v>0</v>
      </c>
      <c r="I68" s="192">
        <v>0</v>
      </c>
      <c r="J68" s="192">
        <v>0</v>
      </c>
      <c r="K68" s="192">
        <v>10563157.300000001</v>
      </c>
      <c r="L68" s="192">
        <v>0</v>
      </c>
      <c r="M68" s="192">
        <v>0</v>
      </c>
      <c r="N68" s="192"/>
      <c r="O68" s="192">
        <v>0</v>
      </c>
      <c r="P68" s="192">
        <v>10563157.300000001</v>
      </c>
      <c r="Q68" s="192">
        <v>0</v>
      </c>
      <c r="R68" s="192">
        <v>0</v>
      </c>
      <c r="S68" s="192">
        <v>0</v>
      </c>
      <c r="T68" s="192">
        <v>1522608.57</v>
      </c>
      <c r="U68" s="201"/>
      <c r="V68" s="180"/>
      <c r="W68" s="182" t="s">
        <v>31</v>
      </c>
      <c r="X68" s="195">
        <v>178132</v>
      </c>
      <c r="Y68" s="195">
        <v>173123</v>
      </c>
      <c r="Z68" s="182" t="s">
        <v>373</v>
      </c>
      <c r="AA68" s="179" t="s">
        <v>427</v>
      </c>
      <c r="AB68" s="90">
        <f t="shared" si="3"/>
        <v>0</v>
      </c>
      <c r="AC68" s="103">
        <f t="shared" si="1"/>
        <v>0</v>
      </c>
      <c r="AD68" s="19"/>
      <c r="AE68" s="2"/>
      <c r="AH68" s="12">
        <f>P68/K68*100</f>
        <v>100</v>
      </c>
      <c r="AJ68" s="112">
        <f>P68-K68</f>
        <v>0</v>
      </c>
    </row>
    <row r="69" spans="1:40" ht="349.5" customHeight="1" x14ac:dyDescent="0.65">
      <c r="A69" s="198" t="s">
        <v>92</v>
      </c>
      <c r="B69" s="179" t="s">
        <v>93</v>
      </c>
      <c r="C69" s="179" t="s">
        <v>27</v>
      </c>
      <c r="D69" s="192">
        <v>0</v>
      </c>
      <c r="E69" s="192">
        <v>71984.100000000006</v>
      </c>
      <c r="F69" s="192">
        <v>0</v>
      </c>
      <c r="G69" s="192">
        <v>0</v>
      </c>
      <c r="H69" s="192">
        <v>0</v>
      </c>
      <c r="I69" s="192">
        <v>0</v>
      </c>
      <c r="J69" s="192">
        <v>0</v>
      </c>
      <c r="K69" s="192">
        <v>71984.100000000006</v>
      </c>
      <c r="L69" s="192">
        <v>0</v>
      </c>
      <c r="M69" s="192">
        <v>0</v>
      </c>
      <c r="N69" s="192"/>
      <c r="O69" s="192">
        <v>0</v>
      </c>
      <c r="P69" s="192">
        <v>71984</v>
      </c>
      <c r="Q69" s="192">
        <v>0</v>
      </c>
      <c r="R69" s="192">
        <v>0</v>
      </c>
      <c r="S69" s="192">
        <v>0</v>
      </c>
      <c r="T69" s="192">
        <v>70921.509999999995</v>
      </c>
      <c r="U69" s="201" t="s">
        <v>483</v>
      </c>
      <c r="V69" s="180"/>
      <c r="W69" s="182" t="s">
        <v>87</v>
      </c>
      <c r="X69" s="180">
        <v>40</v>
      </c>
      <c r="Y69" s="180">
        <v>40</v>
      </c>
      <c r="Z69" s="182" t="s">
        <v>32</v>
      </c>
      <c r="AA69" s="179"/>
      <c r="AB69" s="90">
        <f t="shared" si="3"/>
        <v>-0.10000000000582077</v>
      </c>
      <c r="AC69" s="103">
        <f t="shared" si="1"/>
        <v>-0.10000000000582077</v>
      </c>
      <c r="AD69" s="19"/>
      <c r="AE69" s="2"/>
      <c r="AJ69" s="112">
        <f t="shared" ref="AJ69:AJ70" si="4">P69-K69</f>
        <v>-0.10000000000582077</v>
      </c>
    </row>
    <row r="70" spans="1:40" ht="408.75" customHeight="1" x14ac:dyDescent="0.65">
      <c r="A70" s="75" t="s">
        <v>94</v>
      </c>
      <c r="B70" s="179" t="s">
        <v>371</v>
      </c>
      <c r="C70" s="179" t="s">
        <v>27</v>
      </c>
      <c r="D70" s="192">
        <v>0</v>
      </c>
      <c r="E70" s="192">
        <v>22748.2</v>
      </c>
      <c r="F70" s="192">
        <v>0</v>
      </c>
      <c r="G70" s="192">
        <v>0</v>
      </c>
      <c r="H70" s="192">
        <v>0</v>
      </c>
      <c r="I70" s="192">
        <v>0</v>
      </c>
      <c r="J70" s="192">
        <v>0</v>
      </c>
      <c r="K70" s="192">
        <v>22748.2</v>
      </c>
      <c r="L70" s="192">
        <v>0</v>
      </c>
      <c r="M70" s="192">
        <v>0</v>
      </c>
      <c r="N70" s="192">
        <v>0</v>
      </c>
      <c r="O70" s="192">
        <v>0</v>
      </c>
      <c r="P70" s="192">
        <v>20902.599999999999</v>
      </c>
      <c r="Q70" s="192">
        <v>0</v>
      </c>
      <c r="R70" s="192">
        <v>0</v>
      </c>
      <c r="S70" s="192">
        <v>0</v>
      </c>
      <c r="T70" s="192">
        <v>7048.1</v>
      </c>
      <c r="U70" s="201" t="s">
        <v>484</v>
      </c>
      <c r="V70" s="74"/>
      <c r="W70" s="18" t="s">
        <v>31</v>
      </c>
      <c r="X70" s="183">
        <v>9646</v>
      </c>
      <c r="Y70" s="183">
        <v>9676</v>
      </c>
      <c r="Z70" s="182" t="s">
        <v>32</v>
      </c>
      <c r="AA70" s="179"/>
      <c r="AB70" s="90">
        <f t="shared" si="3"/>
        <v>-1845.6000000000022</v>
      </c>
      <c r="AC70" s="103">
        <f t="shared" si="1"/>
        <v>-1845.6000000000022</v>
      </c>
      <c r="AD70" s="19"/>
      <c r="AE70" s="2"/>
      <c r="AJ70" s="112">
        <f t="shared" si="4"/>
        <v>-1845.6000000000022</v>
      </c>
    </row>
    <row r="71" spans="1:40" ht="408.75" customHeight="1" x14ac:dyDescent="0.65">
      <c r="A71" s="198" t="s">
        <v>45</v>
      </c>
      <c r="B71" s="179" t="s">
        <v>95</v>
      </c>
      <c r="C71" s="179" t="s">
        <v>27</v>
      </c>
      <c r="D71" s="192">
        <v>0</v>
      </c>
      <c r="E71" s="192">
        <v>1633.6</v>
      </c>
      <c r="F71" s="192">
        <v>0</v>
      </c>
      <c r="G71" s="192">
        <v>0</v>
      </c>
      <c r="H71" s="192">
        <v>0</v>
      </c>
      <c r="I71" s="192">
        <v>0</v>
      </c>
      <c r="J71" s="192">
        <v>0</v>
      </c>
      <c r="K71" s="192">
        <v>1633.6</v>
      </c>
      <c r="L71" s="192">
        <v>0</v>
      </c>
      <c r="M71" s="192">
        <v>0</v>
      </c>
      <c r="N71" s="192">
        <v>0</v>
      </c>
      <c r="O71" s="192">
        <v>0</v>
      </c>
      <c r="P71" s="192">
        <v>1633.6</v>
      </c>
      <c r="Q71" s="192">
        <v>0</v>
      </c>
      <c r="R71" s="192">
        <v>0</v>
      </c>
      <c r="S71" s="192">
        <v>0</v>
      </c>
      <c r="T71" s="192">
        <v>1202.7</v>
      </c>
      <c r="U71" s="203"/>
      <c r="V71" s="182"/>
      <c r="W71" s="182" t="s">
        <v>87</v>
      </c>
      <c r="X71" s="180">
        <v>6</v>
      </c>
      <c r="Y71" s="180">
        <v>6</v>
      </c>
      <c r="Z71" s="182" t="s">
        <v>32</v>
      </c>
      <c r="AA71" s="187"/>
      <c r="AB71" s="90">
        <f t="shared" si="3"/>
        <v>0</v>
      </c>
      <c r="AC71" s="103">
        <f t="shared" si="1"/>
        <v>0</v>
      </c>
      <c r="AD71" s="19"/>
      <c r="AE71" s="2"/>
      <c r="AJ71" s="143">
        <f>P71-K71</f>
        <v>0</v>
      </c>
      <c r="AN71" s="94" t="s">
        <v>288</v>
      </c>
    </row>
    <row r="72" spans="1:40" ht="366" customHeight="1" x14ac:dyDescent="0.65">
      <c r="A72" s="74" t="s">
        <v>47</v>
      </c>
      <c r="B72" s="179" t="s">
        <v>96</v>
      </c>
      <c r="C72" s="179" t="s">
        <v>27</v>
      </c>
      <c r="D72" s="192">
        <v>0</v>
      </c>
      <c r="E72" s="192">
        <v>3462.9</v>
      </c>
      <c r="F72" s="192">
        <v>0</v>
      </c>
      <c r="G72" s="192">
        <v>0</v>
      </c>
      <c r="H72" s="192">
        <v>0</v>
      </c>
      <c r="I72" s="192">
        <v>0</v>
      </c>
      <c r="J72" s="192">
        <v>0</v>
      </c>
      <c r="K72" s="192">
        <v>3462.9</v>
      </c>
      <c r="L72" s="192">
        <v>0</v>
      </c>
      <c r="M72" s="192">
        <v>0</v>
      </c>
      <c r="N72" s="192">
        <v>0</v>
      </c>
      <c r="O72" s="192">
        <v>0</v>
      </c>
      <c r="P72" s="192">
        <v>3462.9</v>
      </c>
      <c r="Q72" s="192">
        <v>0</v>
      </c>
      <c r="R72" s="192">
        <v>0</v>
      </c>
      <c r="S72" s="192">
        <v>0</v>
      </c>
      <c r="T72" s="192">
        <v>2687.46</v>
      </c>
      <c r="U72" s="74"/>
      <c r="V72" s="74"/>
      <c r="W72" s="74" t="s">
        <v>97</v>
      </c>
      <c r="X72" s="180">
        <v>3</v>
      </c>
      <c r="Y72" s="180">
        <v>3</v>
      </c>
      <c r="Z72" s="182" t="s">
        <v>32</v>
      </c>
      <c r="AA72" s="179"/>
      <c r="AB72" s="90">
        <f t="shared" si="3"/>
        <v>0</v>
      </c>
      <c r="AC72" s="103">
        <f t="shared" si="1"/>
        <v>0</v>
      </c>
      <c r="AD72" s="19"/>
      <c r="AE72" s="22"/>
      <c r="AJ72" s="112"/>
      <c r="AN72" s="94" t="s">
        <v>289</v>
      </c>
    </row>
    <row r="73" spans="1:40" ht="288" customHeight="1" x14ac:dyDescent="0.65">
      <c r="A73" s="74" t="s">
        <v>98</v>
      </c>
      <c r="B73" s="179" t="s">
        <v>233</v>
      </c>
      <c r="C73" s="179" t="s">
        <v>27</v>
      </c>
      <c r="D73" s="192">
        <v>0</v>
      </c>
      <c r="E73" s="192">
        <v>1260</v>
      </c>
      <c r="F73" s="192">
        <v>0</v>
      </c>
      <c r="G73" s="192">
        <v>0</v>
      </c>
      <c r="H73" s="192">
        <v>0</v>
      </c>
      <c r="I73" s="192">
        <v>0</v>
      </c>
      <c r="J73" s="192">
        <v>0</v>
      </c>
      <c r="K73" s="192">
        <v>1260</v>
      </c>
      <c r="L73" s="192">
        <v>0</v>
      </c>
      <c r="M73" s="192">
        <v>0</v>
      </c>
      <c r="N73" s="192">
        <v>0</v>
      </c>
      <c r="O73" s="192">
        <v>0</v>
      </c>
      <c r="P73" s="192">
        <v>1260</v>
      </c>
      <c r="Q73" s="192">
        <v>0</v>
      </c>
      <c r="R73" s="192">
        <v>0</v>
      </c>
      <c r="S73" s="192">
        <v>0</v>
      </c>
      <c r="T73" s="192">
        <v>1004.18</v>
      </c>
      <c r="U73" s="74"/>
      <c r="V73" s="74"/>
      <c r="W73" s="74" t="s">
        <v>99</v>
      </c>
      <c r="X73" s="180">
        <v>25</v>
      </c>
      <c r="Y73" s="180">
        <v>25</v>
      </c>
      <c r="Z73" s="182" t="s">
        <v>32</v>
      </c>
      <c r="AA73" s="179"/>
      <c r="AB73" s="90">
        <f t="shared" si="3"/>
        <v>0</v>
      </c>
      <c r="AC73" s="103">
        <f t="shared" si="1"/>
        <v>0</v>
      </c>
      <c r="AD73" s="19"/>
      <c r="AE73" s="2"/>
      <c r="AJ73" s="112"/>
      <c r="AN73" s="94" t="s">
        <v>289</v>
      </c>
    </row>
    <row r="74" spans="1:40" ht="294" customHeight="1" x14ac:dyDescent="0.65">
      <c r="A74" s="75" t="s">
        <v>100</v>
      </c>
      <c r="B74" s="179" t="s">
        <v>101</v>
      </c>
      <c r="C74" s="179" t="s">
        <v>27</v>
      </c>
      <c r="D74" s="192">
        <v>0</v>
      </c>
      <c r="E74" s="192">
        <v>700</v>
      </c>
      <c r="F74" s="192">
        <v>0</v>
      </c>
      <c r="G74" s="192">
        <v>0</v>
      </c>
      <c r="H74" s="192">
        <v>0</v>
      </c>
      <c r="I74" s="192">
        <v>0</v>
      </c>
      <c r="J74" s="192">
        <v>0</v>
      </c>
      <c r="K74" s="192">
        <v>700</v>
      </c>
      <c r="L74" s="192">
        <v>0</v>
      </c>
      <c r="M74" s="192">
        <v>0</v>
      </c>
      <c r="N74" s="192">
        <v>0</v>
      </c>
      <c r="O74" s="192">
        <v>0</v>
      </c>
      <c r="P74" s="192">
        <v>700</v>
      </c>
      <c r="Q74" s="192">
        <v>0</v>
      </c>
      <c r="R74" s="192">
        <v>0</v>
      </c>
      <c r="S74" s="192">
        <v>0</v>
      </c>
      <c r="T74" s="192">
        <v>686</v>
      </c>
      <c r="U74" s="77"/>
      <c r="V74" s="18"/>
      <c r="W74" s="74" t="s">
        <v>31</v>
      </c>
      <c r="X74" s="183">
        <v>1020</v>
      </c>
      <c r="Y74" s="180">
        <v>1020</v>
      </c>
      <c r="Z74" s="182" t="s">
        <v>32</v>
      </c>
      <c r="AA74" s="179"/>
      <c r="AB74" s="90">
        <f t="shared" si="3"/>
        <v>0</v>
      </c>
      <c r="AC74" s="103">
        <f t="shared" si="1"/>
        <v>0</v>
      </c>
      <c r="AD74" s="19"/>
      <c r="AE74" s="2"/>
      <c r="AJ74" s="112"/>
      <c r="AN74" s="94" t="s">
        <v>289</v>
      </c>
    </row>
    <row r="75" spans="1:40" ht="409.6" customHeight="1" x14ac:dyDescent="0.65">
      <c r="A75" s="198" t="s">
        <v>102</v>
      </c>
      <c r="B75" s="213" t="s">
        <v>103</v>
      </c>
      <c r="C75" s="179" t="s">
        <v>27</v>
      </c>
      <c r="D75" s="192">
        <v>0</v>
      </c>
      <c r="E75" s="192">
        <v>15832.4</v>
      </c>
      <c r="F75" s="192">
        <v>0</v>
      </c>
      <c r="G75" s="192">
        <v>0</v>
      </c>
      <c r="H75" s="192">
        <v>0</v>
      </c>
      <c r="I75" s="192">
        <v>0</v>
      </c>
      <c r="J75" s="192">
        <v>0</v>
      </c>
      <c r="K75" s="192">
        <v>15832.4</v>
      </c>
      <c r="L75" s="192">
        <v>0</v>
      </c>
      <c r="M75" s="192">
        <v>0</v>
      </c>
      <c r="N75" s="192">
        <v>0</v>
      </c>
      <c r="O75" s="192">
        <v>0</v>
      </c>
      <c r="P75" s="192">
        <v>15698.2</v>
      </c>
      <c r="Q75" s="192">
        <v>0</v>
      </c>
      <c r="R75" s="192">
        <v>0</v>
      </c>
      <c r="S75" s="192">
        <v>0</v>
      </c>
      <c r="T75" s="192">
        <v>10757.86</v>
      </c>
      <c r="U75" s="213" t="s">
        <v>586</v>
      </c>
      <c r="V75" s="180"/>
      <c r="W75" s="182" t="s">
        <v>31</v>
      </c>
      <c r="X75" s="180">
        <v>290</v>
      </c>
      <c r="Y75" s="180">
        <v>289</v>
      </c>
      <c r="Z75" s="182" t="s">
        <v>373</v>
      </c>
      <c r="AA75" s="213"/>
      <c r="AB75" s="90">
        <f t="shared" si="3"/>
        <v>-134.19999999999891</v>
      </c>
      <c r="AC75" s="103">
        <f t="shared" si="1"/>
        <v>-134.19999999999891</v>
      </c>
      <c r="AD75" s="19"/>
      <c r="AE75" s="2"/>
      <c r="AJ75" s="112">
        <f>P75-K75</f>
        <v>-134.19999999999891</v>
      </c>
      <c r="AN75" s="94" t="s">
        <v>289</v>
      </c>
    </row>
    <row r="76" spans="1:40" ht="408.75" customHeight="1" x14ac:dyDescent="0.65">
      <c r="A76" s="198" t="s">
        <v>104</v>
      </c>
      <c r="B76" s="179" t="s">
        <v>256</v>
      </c>
      <c r="C76" s="179" t="s">
        <v>27</v>
      </c>
      <c r="D76" s="192">
        <v>0</v>
      </c>
      <c r="E76" s="192">
        <v>1000</v>
      </c>
      <c r="F76" s="192">
        <v>0</v>
      </c>
      <c r="G76" s="192">
        <v>0</v>
      </c>
      <c r="H76" s="192">
        <v>0</v>
      </c>
      <c r="I76" s="192">
        <v>0</v>
      </c>
      <c r="J76" s="192">
        <v>0</v>
      </c>
      <c r="K76" s="192">
        <v>1000</v>
      </c>
      <c r="L76" s="192">
        <v>0</v>
      </c>
      <c r="M76" s="192">
        <v>0</v>
      </c>
      <c r="N76" s="192">
        <v>0</v>
      </c>
      <c r="O76" s="192">
        <v>0</v>
      </c>
      <c r="P76" s="192">
        <v>1000</v>
      </c>
      <c r="Q76" s="192">
        <v>0</v>
      </c>
      <c r="R76" s="192">
        <v>0</v>
      </c>
      <c r="S76" s="192">
        <v>0</v>
      </c>
      <c r="T76" s="192">
        <v>822.5</v>
      </c>
      <c r="U76" s="201"/>
      <c r="V76" s="180"/>
      <c r="W76" s="182" t="s">
        <v>105</v>
      </c>
      <c r="X76" s="180">
        <v>200</v>
      </c>
      <c r="Y76" s="180">
        <v>200</v>
      </c>
      <c r="Z76" s="182" t="s">
        <v>32</v>
      </c>
      <c r="AA76" s="179"/>
      <c r="AB76" s="90">
        <f t="shared" si="3"/>
        <v>0</v>
      </c>
      <c r="AC76" s="103">
        <f t="shared" si="1"/>
        <v>0</v>
      </c>
      <c r="AD76" s="19"/>
      <c r="AE76" s="2"/>
      <c r="AH76" s="12">
        <f>1000/1250*100</f>
        <v>80</v>
      </c>
      <c r="AJ76" s="113"/>
      <c r="AN76" s="94" t="s">
        <v>289</v>
      </c>
    </row>
    <row r="77" spans="1:40" ht="409.5" x14ac:dyDescent="0.65">
      <c r="A77" s="74" t="s">
        <v>106</v>
      </c>
      <c r="B77" s="179" t="s">
        <v>343</v>
      </c>
      <c r="C77" s="179" t="s">
        <v>27</v>
      </c>
      <c r="D77" s="192">
        <v>0</v>
      </c>
      <c r="E77" s="197">
        <v>4180</v>
      </c>
      <c r="F77" s="192">
        <v>0</v>
      </c>
      <c r="G77" s="192">
        <v>0</v>
      </c>
      <c r="H77" s="192">
        <v>0</v>
      </c>
      <c r="I77" s="192">
        <v>0</v>
      </c>
      <c r="J77" s="192">
        <v>0</v>
      </c>
      <c r="K77" s="192">
        <v>4180</v>
      </c>
      <c r="L77" s="192">
        <v>0</v>
      </c>
      <c r="M77" s="192">
        <v>0</v>
      </c>
      <c r="N77" s="192">
        <v>0</v>
      </c>
      <c r="O77" s="192">
        <v>0</v>
      </c>
      <c r="P77" s="192">
        <v>4180</v>
      </c>
      <c r="Q77" s="192">
        <v>0</v>
      </c>
      <c r="R77" s="192">
        <v>0</v>
      </c>
      <c r="S77" s="192">
        <v>0</v>
      </c>
      <c r="T77" s="192">
        <v>4180</v>
      </c>
      <c r="U77" s="77"/>
      <c r="V77" s="18"/>
      <c r="W77" s="74" t="s">
        <v>107</v>
      </c>
      <c r="X77" s="195">
        <v>2</v>
      </c>
      <c r="Y77" s="180">
        <v>2</v>
      </c>
      <c r="Z77" s="182" t="s">
        <v>32</v>
      </c>
      <c r="AA77" s="179"/>
      <c r="AB77" s="90">
        <f t="shared" si="3"/>
        <v>0</v>
      </c>
      <c r="AC77" s="103">
        <f t="shared" ref="AC77:AC119" si="5">P77-K77</f>
        <v>0</v>
      </c>
      <c r="AD77" s="106"/>
      <c r="AE77" s="23"/>
      <c r="AJ77" s="112"/>
      <c r="AN77" s="94" t="s">
        <v>290</v>
      </c>
    </row>
    <row r="78" spans="1:40" ht="331.5" customHeight="1" x14ac:dyDescent="0.65">
      <c r="A78" s="74" t="s">
        <v>48</v>
      </c>
      <c r="B78" s="223" t="s">
        <v>264</v>
      </c>
      <c r="C78" s="223" t="s">
        <v>27</v>
      </c>
      <c r="D78" s="226">
        <v>0</v>
      </c>
      <c r="E78" s="228">
        <v>13033.4</v>
      </c>
      <c r="F78" s="226">
        <v>0</v>
      </c>
      <c r="G78" s="226">
        <v>0</v>
      </c>
      <c r="H78" s="226">
        <v>0</v>
      </c>
      <c r="I78" s="226">
        <v>0</v>
      </c>
      <c r="J78" s="226">
        <v>0</v>
      </c>
      <c r="K78" s="226">
        <v>13033.4</v>
      </c>
      <c r="L78" s="226">
        <v>0</v>
      </c>
      <c r="M78" s="226">
        <v>0</v>
      </c>
      <c r="N78" s="226">
        <v>0</v>
      </c>
      <c r="O78" s="226">
        <v>0</v>
      </c>
      <c r="P78" s="226"/>
      <c r="Q78" s="226">
        <v>0</v>
      </c>
      <c r="R78" s="226">
        <v>0</v>
      </c>
      <c r="S78" s="226">
        <v>0</v>
      </c>
      <c r="T78" s="226">
        <v>0</v>
      </c>
      <c r="U78" s="77" t="s">
        <v>588</v>
      </c>
      <c r="V78" s="18"/>
      <c r="W78" s="74" t="s">
        <v>31</v>
      </c>
      <c r="X78" s="227">
        <v>724</v>
      </c>
      <c r="Y78" s="224">
        <v>0</v>
      </c>
      <c r="Z78" s="225" t="s">
        <v>374</v>
      </c>
      <c r="AA78" s="223"/>
      <c r="AB78" s="90">
        <f t="shared" si="3"/>
        <v>-13033.4</v>
      </c>
      <c r="AC78" s="103">
        <f t="shared" si="5"/>
        <v>-13033.4</v>
      </c>
      <c r="AD78" s="106"/>
      <c r="AE78" s="23"/>
      <c r="AJ78" s="112"/>
      <c r="AN78" s="94" t="s">
        <v>290</v>
      </c>
    </row>
    <row r="79" spans="1:40" ht="123" customHeight="1" x14ac:dyDescent="0.65">
      <c r="A79" s="198" t="s">
        <v>108</v>
      </c>
      <c r="B79" s="11" t="s">
        <v>109</v>
      </c>
      <c r="C79" s="111"/>
      <c r="D79" s="86">
        <f>D80+D82+D91+D92+D93+D97+D94+D95+D96+D99+D100+D101+D102+D105+D107+D109+D111+D113+D115+D117+D118+D119+D103+D98</f>
        <v>19537204</v>
      </c>
      <c r="E79" s="86">
        <f>E80+E82+E91+E92+E93+E96+E99+E100+E101+E103+E104+E105+E107+E109+E111+E113+E115+E117+E119+E98</f>
        <v>17574989.800000001</v>
      </c>
      <c r="F79" s="86">
        <f>F80+F82+F91+F92+F93+F97+F94+F95+F96+F99+F100+F101+F102+F105+F107+F109+F111+F113+F115+F117+F118+F119</f>
        <v>0</v>
      </c>
      <c r="G79" s="86">
        <f>G80+G82+G91+G92+G93+G97+G94+G95+G96+G99+G100+G101+G102+G105+G107+G109+G111+G113+G115+G117+G118+G119</f>
        <v>0</v>
      </c>
      <c r="H79" s="86">
        <f>H80+H82+H91+H92+H93+H97+H94+H95+H96+H99+H100+H101+H102+H105+H107+H109+H111+H113+H115+H117+H118+H119</f>
        <v>0</v>
      </c>
      <c r="I79" s="86">
        <f>I80+I82+I91+I92+I93+I97+I94+I95+I96+I99+I100+I101+I102+I105+I107+I109+I111+I113+I115+I117+I118+I119+I98</f>
        <v>18819222.299999997</v>
      </c>
      <c r="J79" s="86">
        <f>J80+J82+J91+J92+J93+J97+J94+J95+J96+J99+J100+J101+J102+J105+J107+J109+J111+J113+J115+J117+J118+J119</f>
        <v>0</v>
      </c>
      <c r="K79" s="86">
        <f>K80+K82+K91+K92+K93+K96+K99+K100+K101+K103+K104+K105+K107+K109+K111+K113+K115+K117+K119+K98+K95</f>
        <v>17486247.199999999</v>
      </c>
      <c r="L79" s="86">
        <f>L80+L82+L91+L92+L93+L97+L94+L95+L96+L99+L100+L101+L102+L105+L107+L109+L111+L113+L115+L117+L118+L119+L103</f>
        <v>0</v>
      </c>
      <c r="M79" s="86">
        <f>M80+M82+M91+M92+M93+M97+M94+M95+M96+M99+M100+M101+M102+M105+M107+M109+M111+M113+M115+M117+M118+M119+M103</f>
        <v>0</v>
      </c>
      <c r="N79" s="86">
        <f>N94+N95+N97+N118+N102+N98</f>
        <v>18373796.600000001</v>
      </c>
      <c r="O79" s="86">
        <f>O80+O82+O91+O92+O93+O97+O94+O95+O96+O99+O100+O101+O102+O105+O107+O109+O111+O113+O115+O117+O118+O119+O103</f>
        <v>0</v>
      </c>
      <c r="P79" s="86">
        <f>P80+P82+P91+P92+P93+P97+P94+P95+P96+P99+P100+P101+P102+P105+P107+P109+P111+P113+P115+P117+P118+P119+P103+P104+P98</f>
        <v>16960478.299999997</v>
      </c>
      <c r="Q79" s="86">
        <f>Q80+Q82+Q91+Q92+Q93+Q97+Q94+Q95+Q96+Q99+Q100+Q101+Q102+Q105+Q107+Q109+Q111+Q113+Q115+Q117+Q118+Q119+Q103</f>
        <v>0</v>
      </c>
      <c r="R79" s="86">
        <f>R80+R82+R91+R92+R93+R97+R94+R95+R96+R99+R100+R101+R102+R105+R107+R109+R111+R113+R115+R117+R118+R119+R103</f>
        <v>0</v>
      </c>
      <c r="S79" s="86">
        <f>S80+S82+S91+S92+S93+S97+S94+S95+S96+S99+S100+S101+S102+S105+S107+S109+S111+S113+S115+S117+S118+S119+S103</f>
        <v>0</v>
      </c>
      <c r="T79" s="86">
        <f>T80+T82+T91+T92+T93+T97+T94+T95+T96+T99+T100+T101+T102+T105+T107+T109+T111+T113+T115+T117+T118+T119+T103</f>
        <v>812339.94</v>
      </c>
      <c r="U79" s="10" t="s">
        <v>23</v>
      </c>
      <c r="V79" s="10" t="s">
        <v>23</v>
      </c>
      <c r="W79" s="10" t="s">
        <v>23</v>
      </c>
      <c r="X79" s="10" t="s">
        <v>23</v>
      </c>
      <c r="Y79" s="10"/>
      <c r="Z79" s="10" t="s">
        <v>23</v>
      </c>
      <c r="AA79" s="24"/>
      <c r="AB79" s="24"/>
      <c r="AC79" s="103">
        <f t="shared" si="5"/>
        <v>-525768.90000000224</v>
      </c>
      <c r="AD79" s="104">
        <f>(N79+P79)/(I79+K79)*100</f>
        <v>97.324935847476084</v>
      </c>
      <c r="AE79" s="2"/>
      <c r="AH79" s="13">
        <f>N79/I79*100</f>
        <v>97.633134393656661</v>
      </c>
      <c r="AI79" s="13">
        <f>P79/K79*100</f>
        <v>96.993243352981978</v>
      </c>
      <c r="AJ79" s="112"/>
      <c r="AN79" s="95"/>
    </row>
    <row r="80" spans="1:40" ht="268.5" customHeight="1" x14ac:dyDescent="0.65">
      <c r="A80" s="75" t="s">
        <v>33</v>
      </c>
      <c r="B80" s="179" t="s">
        <v>110</v>
      </c>
      <c r="C80" s="179" t="s">
        <v>27</v>
      </c>
      <c r="D80" s="192">
        <v>0</v>
      </c>
      <c r="E80" s="192">
        <v>2513747.4</v>
      </c>
      <c r="F80" s="192">
        <v>0</v>
      </c>
      <c r="G80" s="192">
        <v>0</v>
      </c>
      <c r="H80" s="192">
        <v>0</v>
      </c>
      <c r="I80" s="192"/>
      <c r="J80" s="192">
        <v>0</v>
      </c>
      <c r="K80" s="192">
        <f>K81</f>
        <v>2513747.4</v>
      </c>
      <c r="L80" s="192">
        <v>0</v>
      </c>
      <c r="M80" s="192">
        <v>0</v>
      </c>
      <c r="N80" s="192">
        <v>0</v>
      </c>
      <c r="O80" s="192">
        <v>0</v>
      </c>
      <c r="P80" s="192">
        <f>P81</f>
        <v>2483157</v>
      </c>
      <c r="Q80" s="192">
        <v>0</v>
      </c>
      <c r="R80" s="192">
        <v>0</v>
      </c>
      <c r="S80" s="192"/>
      <c r="T80" s="192">
        <f>T81</f>
        <v>412145.9</v>
      </c>
      <c r="U80" s="18" t="s">
        <v>23</v>
      </c>
      <c r="V80" s="180" t="s">
        <v>23</v>
      </c>
      <c r="W80" s="180" t="s">
        <v>23</v>
      </c>
      <c r="X80" s="180" t="s">
        <v>23</v>
      </c>
      <c r="Y80" s="180"/>
      <c r="Z80" s="180" t="s">
        <v>23</v>
      </c>
      <c r="AA80" s="185"/>
      <c r="AB80" s="185"/>
      <c r="AC80" s="103">
        <f t="shared" si="5"/>
        <v>-30590.399999999907</v>
      </c>
      <c r="AD80" s="19"/>
      <c r="AE80" s="2"/>
      <c r="AJ80" s="112"/>
    </row>
    <row r="81" spans="1:40" ht="409.6" customHeight="1" x14ac:dyDescent="0.65">
      <c r="A81" s="198" t="s">
        <v>81</v>
      </c>
      <c r="B81" s="179" t="s">
        <v>86</v>
      </c>
      <c r="C81" s="179" t="s">
        <v>27</v>
      </c>
      <c r="D81" s="192">
        <v>0</v>
      </c>
      <c r="E81" s="192">
        <v>2513747.4</v>
      </c>
      <c r="F81" s="192">
        <v>0</v>
      </c>
      <c r="G81" s="192">
        <v>0</v>
      </c>
      <c r="H81" s="192">
        <v>0</v>
      </c>
      <c r="I81" s="192">
        <v>0</v>
      </c>
      <c r="J81" s="192">
        <v>0</v>
      </c>
      <c r="K81" s="192">
        <v>2513747.4</v>
      </c>
      <c r="L81" s="192">
        <v>0</v>
      </c>
      <c r="M81" s="192">
        <v>0</v>
      </c>
      <c r="N81" s="192"/>
      <c r="O81" s="192">
        <v>0</v>
      </c>
      <c r="P81" s="192">
        <v>2483157</v>
      </c>
      <c r="Q81" s="192">
        <v>0</v>
      </c>
      <c r="R81" s="192">
        <v>0</v>
      </c>
      <c r="S81" s="192">
        <v>0</v>
      </c>
      <c r="T81" s="192">
        <v>412145.9</v>
      </c>
      <c r="U81" s="219" t="s">
        <v>580</v>
      </c>
      <c r="V81" s="180"/>
      <c r="W81" s="180" t="s">
        <v>31</v>
      </c>
      <c r="X81" s="183">
        <v>42651</v>
      </c>
      <c r="Y81" s="183">
        <v>75262</v>
      </c>
      <c r="Z81" s="182" t="s">
        <v>32</v>
      </c>
      <c r="AA81" s="179"/>
      <c r="AB81" s="181">
        <f>P81-K81</f>
        <v>-30590.399999999907</v>
      </c>
      <c r="AC81" s="103">
        <f t="shared" si="5"/>
        <v>-30590.399999999907</v>
      </c>
      <c r="AD81" s="19"/>
      <c r="AE81" s="2"/>
      <c r="AJ81" s="112">
        <f>P81-K81</f>
        <v>-30590.399999999907</v>
      </c>
      <c r="AN81" s="94" t="s">
        <v>291</v>
      </c>
    </row>
    <row r="82" spans="1:40" ht="409.5" customHeight="1" x14ac:dyDescent="0.65">
      <c r="A82" s="233" t="s">
        <v>34</v>
      </c>
      <c r="B82" s="237" t="s">
        <v>242</v>
      </c>
      <c r="C82" s="237" t="s">
        <v>27</v>
      </c>
      <c r="D82" s="234">
        <v>0</v>
      </c>
      <c r="E82" s="235">
        <v>331374.90000000002</v>
      </c>
      <c r="F82" s="235">
        <v>0</v>
      </c>
      <c r="G82" s="234">
        <v>0</v>
      </c>
      <c r="H82" s="234">
        <v>0</v>
      </c>
      <c r="I82" s="234">
        <v>0</v>
      </c>
      <c r="J82" s="234">
        <v>0</v>
      </c>
      <c r="K82" s="234">
        <f>K84+K86</f>
        <v>331374.90000000002</v>
      </c>
      <c r="L82" s="234">
        <v>0</v>
      </c>
      <c r="M82" s="234">
        <v>0</v>
      </c>
      <c r="N82" s="234">
        <v>0</v>
      </c>
      <c r="O82" s="234">
        <v>0</v>
      </c>
      <c r="P82" s="234">
        <f>P84+P86</f>
        <v>301313</v>
      </c>
      <c r="Q82" s="234">
        <v>0</v>
      </c>
      <c r="R82" s="234">
        <v>0</v>
      </c>
      <c r="S82" s="234">
        <v>0</v>
      </c>
      <c r="T82" s="234">
        <f>T84+T86</f>
        <v>67092.34</v>
      </c>
      <c r="U82" s="250"/>
      <c r="V82" s="239" t="s">
        <v>23</v>
      </c>
      <c r="W82" s="239" t="s">
        <v>23</v>
      </c>
      <c r="X82" s="239" t="s">
        <v>23</v>
      </c>
      <c r="Y82" s="239"/>
      <c r="Z82" s="239" t="s">
        <v>23</v>
      </c>
      <c r="AA82" s="263"/>
      <c r="AB82" s="185"/>
      <c r="AC82" s="103">
        <f t="shared" si="5"/>
        <v>-30061.900000000023</v>
      </c>
      <c r="AD82" s="19"/>
      <c r="AE82" s="2"/>
      <c r="AJ82" s="112"/>
    </row>
    <row r="83" spans="1:40" ht="126" customHeight="1" x14ac:dyDescent="0.65">
      <c r="A83" s="233"/>
      <c r="B83" s="237"/>
      <c r="C83" s="237"/>
      <c r="D83" s="234"/>
      <c r="E83" s="235"/>
      <c r="F83" s="235"/>
      <c r="G83" s="234"/>
      <c r="H83" s="234"/>
      <c r="I83" s="234"/>
      <c r="J83" s="234"/>
      <c r="K83" s="234"/>
      <c r="L83" s="234"/>
      <c r="M83" s="234"/>
      <c r="N83" s="234"/>
      <c r="O83" s="234"/>
      <c r="P83" s="234"/>
      <c r="Q83" s="234"/>
      <c r="R83" s="234"/>
      <c r="S83" s="234"/>
      <c r="T83" s="234"/>
      <c r="U83" s="251"/>
      <c r="V83" s="239"/>
      <c r="W83" s="239"/>
      <c r="X83" s="239"/>
      <c r="Y83" s="239"/>
      <c r="Z83" s="239"/>
      <c r="AA83" s="264"/>
      <c r="AB83" s="185"/>
      <c r="AC83" s="103"/>
      <c r="AD83" s="19"/>
      <c r="AE83" s="2"/>
      <c r="AJ83" s="112"/>
    </row>
    <row r="84" spans="1:40" ht="289.5" customHeight="1" x14ac:dyDescent="0.65">
      <c r="A84" s="252" t="s">
        <v>111</v>
      </c>
      <c r="B84" s="250" t="s">
        <v>86</v>
      </c>
      <c r="C84" s="250" t="s">
        <v>27</v>
      </c>
      <c r="D84" s="247">
        <v>0</v>
      </c>
      <c r="E84" s="241">
        <v>119537.1</v>
      </c>
      <c r="F84" s="241">
        <v>0</v>
      </c>
      <c r="G84" s="247">
        <v>0</v>
      </c>
      <c r="H84" s="247">
        <v>0</v>
      </c>
      <c r="I84" s="247">
        <v>0</v>
      </c>
      <c r="J84" s="247">
        <v>0</v>
      </c>
      <c r="K84" s="247">
        <v>119537.1</v>
      </c>
      <c r="L84" s="247">
        <v>0</v>
      </c>
      <c r="M84" s="247">
        <v>0</v>
      </c>
      <c r="N84" s="247">
        <v>0</v>
      </c>
      <c r="O84" s="247">
        <v>0</v>
      </c>
      <c r="P84" s="247">
        <v>89475.199999999997</v>
      </c>
      <c r="Q84" s="247">
        <v>0</v>
      </c>
      <c r="R84" s="247">
        <v>0</v>
      </c>
      <c r="S84" s="247">
        <v>0</v>
      </c>
      <c r="T84" s="247">
        <v>208</v>
      </c>
      <c r="U84" s="250" t="s">
        <v>581</v>
      </c>
      <c r="V84" s="263"/>
      <c r="W84" s="263" t="s">
        <v>31</v>
      </c>
      <c r="X84" s="263">
        <v>110</v>
      </c>
      <c r="Y84" s="263">
        <v>111</v>
      </c>
      <c r="Z84" s="265" t="s">
        <v>32</v>
      </c>
      <c r="AA84" s="250"/>
      <c r="AB84" s="181">
        <f>P84-K84</f>
        <v>-30061.900000000009</v>
      </c>
      <c r="AC84" s="103">
        <f t="shared" si="5"/>
        <v>-30061.900000000009</v>
      </c>
      <c r="AD84" s="19"/>
      <c r="AE84" s="2"/>
      <c r="AJ84" s="112">
        <f>P84-K84</f>
        <v>-30061.900000000009</v>
      </c>
      <c r="AN84" s="94" t="s">
        <v>291</v>
      </c>
    </row>
    <row r="85" spans="1:40" ht="409.6" customHeight="1" x14ac:dyDescent="0.65">
      <c r="A85" s="253"/>
      <c r="B85" s="251"/>
      <c r="C85" s="251"/>
      <c r="D85" s="249"/>
      <c r="E85" s="242"/>
      <c r="F85" s="242"/>
      <c r="G85" s="249"/>
      <c r="H85" s="249"/>
      <c r="I85" s="249"/>
      <c r="J85" s="249"/>
      <c r="K85" s="249"/>
      <c r="L85" s="249"/>
      <c r="M85" s="249"/>
      <c r="N85" s="249"/>
      <c r="O85" s="249"/>
      <c r="P85" s="249"/>
      <c r="Q85" s="249"/>
      <c r="R85" s="249"/>
      <c r="S85" s="249"/>
      <c r="T85" s="249"/>
      <c r="U85" s="251"/>
      <c r="V85" s="264"/>
      <c r="W85" s="264"/>
      <c r="X85" s="264"/>
      <c r="Y85" s="264"/>
      <c r="Z85" s="266"/>
      <c r="AA85" s="251"/>
      <c r="AB85" s="179"/>
      <c r="AC85" s="103">
        <f t="shared" si="5"/>
        <v>0</v>
      </c>
      <c r="AD85" s="19"/>
      <c r="AE85" s="2"/>
      <c r="AJ85" s="247"/>
    </row>
    <row r="86" spans="1:40" ht="211.5" x14ac:dyDescent="0.65">
      <c r="A86" s="198" t="s">
        <v>112</v>
      </c>
      <c r="B86" s="179" t="s">
        <v>113</v>
      </c>
      <c r="C86" s="179" t="s">
        <v>27</v>
      </c>
      <c r="D86" s="192">
        <v>0</v>
      </c>
      <c r="E86" s="197">
        <v>211837.8</v>
      </c>
      <c r="F86" s="197">
        <v>0</v>
      </c>
      <c r="G86" s="192">
        <v>0</v>
      </c>
      <c r="H86" s="192">
        <v>0</v>
      </c>
      <c r="I86" s="192">
        <v>0</v>
      </c>
      <c r="J86" s="192">
        <v>0</v>
      </c>
      <c r="K86" s="192">
        <f>K87+K88+K89</f>
        <v>211837.80000000002</v>
      </c>
      <c r="L86" s="192">
        <v>0</v>
      </c>
      <c r="M86" s="192">
        <v>0</v>
      </c>
      <c r="N86" s="192">
        <v>0</v>
      </c>
      <c r="O86" s="192">
        <v>0</v>
      </c>
      <c r="P86" s="192">
        <f>P87+P88+P89</f>
        <v>211837.80000000002</v>
      </c>
      <c r="Q86" s="192">
        <v>0</v>
      </c>
      <c r="R86" s="192">
        <v>0</v>
      </c>
      <c r="S86" s="192">
        <v>0</v>
      </c>
      <c r="T86" s="192">
        <f>T87+T88+T89</f>
        <v>66884.34</v>
      </c>
      <c r="U86" s="202"/>
      <c r="V86" s="180" t="s">
        <v>23</v>
      </c>
      <c r="W86" s="180" t="s">
        <v>23</v>
      </c>
      <c r="X86" s="180" t="s">
        <v>23</v>
      </c>
      <c r="Y86" s="180"/>
      <c r="Z86" s="180" t="s">
        <v>23</v>
      </c>
      <c r="AA86" s="179"/>
      <c r="AB86" s="179"/>
      <c r="AC86" s="103">
        <f t="shared" si="5"/>
        <v>0</v>
      </c>
      <c r="AD86" s="19"/>
      <c r="AE86" s="2"/>
      <c r="AJ86" s="249"/>
    </row>
    <row r="87" spans="1:40" ht="285" customHeight="1" x14ac:dyDescent="0.65">
      <c r="A87" s="198" t="s">
        <v>114</v>
      </c>
      <c r="B87" s="179" t="s">
        <v>91</v>
      </c>
      <c r="C87" s="179" t="s">
        <v>27</v>
      </c>
      <c r="D87" s="192">
        <v>0</v>
      </c>
      <c r="E87" s="197">
        <v>192786</v>
      </c>
      <c r="F87" s="197">
        <v>0</v>
      </c>
      <c r="G87" s="192">
        <v>0</v>
      </c>
      <c r="H87" s="192">
        <v>0</v>
      </c>
      <c r="I87" s="192">
        <v>0</v>
      </c>
      <c r="J87" s="192">
        <v>0</v>
      </c>
      <c r="K87" s="192">
        <v>192786</v>
      </c>
      <c r="L87" s="192">
        <v>0</v>
      </c>
      <c r="M87" s="192">
        <v>0</v>
      </c>
      <c r="N87" s="192">
        <v>0</v>
      </c>
      <c r="O87" s="192">
        <v>0</v>
      </c>
      <c r="P87" s="220">
        <v>192786</v>
      </c>
      <c r="Q87" s="192">
        <v>0</v>
      </c>
      <c r="R87" s="192">
        <v>0</v>
      </c>
      <c r="S87" s="192">
        <v>0</v>
      </c>
      <c r="T87" s="192">
        <v>49183.94</v>
      </c>
      <c r="U87" s="201" t="s">
        <v>578</v>
      </c>
      <c r="V87" s="180"/>
      <c r="W87" s="180" t="s">
        <v>31</v>
      </c>
      <c r="X87" s="183">
        <v>2019</v>
      </c>
      <c r="Y87" s="183">
        <f>210+241</f>
        <v>451</v>
      </c>
      <c r="Z87" s="182" t="s">
        <v>374</v>
      </c>
      <c r="AA87" s="221" t="s">
        <v>425</v>
      </c>
      <c r="AB87" s="181">
        <f>P87-K87</f>
        <v>0</v>
      </c>
      <c r="AC87" s="103">
        <f t="shared" si="5"/>
        <v>0</v>
      </c>
      <c r="AD87" s="107"/>
      <c r="AE87" s="25"/>
      <c r="AI87" s="125"/>
      <c r="AJ87" s="112">
        <f>P87-K87</f>
        <v>0</v>
      </c>
    </row>
    <row r="88" spans="1:40" ht="119.25" customHeight="1" x14ac:dyDescent="0.65">
      <c r="A88" s="198" t="s">
        <v>115</v>
      </c>
      <c r="B88" s="179" t="s">
        <v>93</v>
      </c>
      <c r="C88" s="179" t="s">
        <v>27</v>
      </c>
      <c r="D88" s="192">
        <v>0</v>
      </c>
      <c r="E88" s="197">
        <v>17749.7</v>
      </c>
      <c r="F88" s="197">
        <v>0</v>
      </c>
      <c r="G88" s="192">
        <v>0</v>
      </c>
      <c r="H88" s="192">
        <v>0</v>
      </c>
      <c r="I88" s="192">
        <v>0</v>
      </c>
      <c r="J88" s="192">
        <v>0</v>
      </c>
      <c r="K88" s="192">
        <v>17749.7</v>
      </c>
      <c r="L88" s="192">
        <v>0</v>
      </c>
      <c r="M88" s="192">
        <v>0</v>
      </c>
      <c r="N88" s="192">
        <v>0</v>
      </c>
      <c r="O88" s="192">
        <v>0</v>
      </c>
      <c r="P88" s="192">
        <v>17749.7</v>
      </c>
      <c r="Q88" s="192">
        <v>0</v>
      </c>
      <c r="R88" s="192">
        <v>0</v>
      </c>
      <c r="S88" s="192">
        <v>0</v>
      </c>
      <c r="T88" s="192">
        <v>17700.400000000001</v>
      </c>
      <c r="U88" s="201"/>
      <c r="V88" s="180"/>
      <c r="W88" s="182" t="s">
        <v>87</v>
      </c>
      <c r="X88" s="180">
        <v>2</v>
      </c>
      <c r="Y88" s="180">
        <v>2</v>
      </c>
      <c r="Z88" s="182" t="s">
        <v>32</v>
      </c>
      <c r="AA88" s="179"/>
      <c r="AB88" s="179"/>
      <c r="AC88" s="103">
        <f t="shared" si="5"/>
        <v>0</v>
      </c>
      <c r="AD88" s="107"/>
      <c r="AE88" s="25"/>
      <c r="AJ88" s="112">
        <f>P88-K88</f>
        <v>0</v>
      </c>
    </row>
    <row r="89" spans="1:40" ht="408.75" customHeight="1" x14ac:dyDescent="0.65">
      <c r="A89" s="233" t="s">
        <v>116</v>
      </c>
      <c r="B89" s="237" t="s">
        <v>344</v>
      </c>
      <c r="C89" s="237" t="s">
        <v>27</v>
      </c>
      <c r="D89" s="234">
        <v>0</v>
      </c>
      <c r="E89" s="235">
        <v>1302.0999999999999</v>
      </c>
      <c r="F89" s="235">
        <v>0</v>
      </c>
      <c r="G89" s="234">
        <v>0</v>
      </c>
      <c r="H89" s="234">
        <v>0</v>
      </c>
      <c r="I89" s="234">
        <v>0</v>
      </c>
      <c r="J89" s="234">
        <v>0</v>
      </c>
      <c r="K89" s="234">
        <v>1302.0999999999999</v>
      </c>
      <c r="L89" s="234">
        <v>0</v>
      </c>
      <c r="M89" s="234">
        <v>0</v>
      </c>
      <c r="N89" s="234">
        <v>0</v>
      </c>
      <c r="O89" s="234">
        <v>0</v>
      </c>
      <c r="P89" s="234">
        <v>1302.0999999999999</v>
      </c>
      <c r="Q89" s="234">
        <v>0</v>
      </c>
      <c r="R89" s="234">
        <v>0</v>
      </c>
      <c r="S89" s="234">
        <v>0</v>
      </c>
      <c r="T89" s="234">
        <v>0</v>
      </c>
      <c r="U89" s="261"/>
      <c r="V89" s="263"/>
      <c r="W89" s="263" t="s">
        <v>31</v>
      </c>
      <c r="X89" s="263">
        <v>186</v>
      </c>
      <c r="Y89" s="263">
        <v>186</v>
      </c>
      <c r="Z89" s="265" t="s">
        <v>32</v>
      </c>
      <c r="AA89" s="280"/>
      <c r="AB89" s="90">
        <f>P89-K89</f>
        <v>0</v>
      </c>
      <c r="AC89" s="103">
        <f t="shared" si="5"/>
        <v>0</v>
      </c>
      <c r="AD89" s="19"/>
      <c r="AE89" s="2"/>
      <c r="AJ89" s="234">
        <f>P89-K89</f>
        <v>0</v>
      </c>
    </row>
    <row r="90" spans="1:40" ht="86.25" customHeight="1" x14ac:dyDescent="0.65">
      <c r="A90" s="233"/>
      <c r="B90" s="237"/>
      <c r="C90" s="237"/>
      <c r="D90" s="234"/>
      <c r="E90" s="235"/>
      <c r="F90" s="235"/>
      <c r="G90" s="234"/>
      <c r="H90" s="234"/>
      <c r="I90" s="234"/>
      <c r="J90" s="234"/>
      <c r="K90" s="234"/>
      <c r="L90" s="234"/>
      <c r="M90" s="234"/>
      <c r="N90" s="234"/>
      <c r="O90" s="234"/>
      <c r="P90" s="234"/>
      <c r="Q90" s="234"/>
      <c r="R90" s="234"/>
      <c r="S90" s="234"/>
      <c r="T90" s="234"/>
      <c r="U90" s="262"/>
      <c r="V90" s="264"/>
      <c r="W90" s="264"/>
      <c r="X90" s="264"/>
      <c r="Y90" s="264"/>
      <c r="Z90" s="266"/>
      <c r="AA90" s="281"/>
      <c r="AB90" s="185"/>
      <c r="AC90" s="103"/>
      <c r="AD90" s="19"/>
      <c r="AE90" s="2"/>
      <c r="AJ90" s="234"/>
    </row>
    <row r="91" spans="1:40" ht="409.6" customHeight="1" x14ac:dyDescent="0.65">
      <c r="A91" s="199" t="s">
        <v>83</v>
      </c>
      <c r="B91" s="177" t="s">
        <v>311</v>
      </c>
      <c r="C91" s="177" t="s">
        <v>27</v>
      </c>
      <c r="D91" s="190">
        <v>0</v>
      </c>
      <c r="E91" s="190">
        <v>267853.09999999998</v>
      </c>
      <c r="F91" s="190">
        <v>0</v>
      </c>
      <c r="G91" s="190">
        <v>0</v>
      </c>
      <c r="H91" s="190">
        <v>0</v>
      </c>
      <c r="I91" s="190">
        <v>0</v>
      </c>
      <c r="J91" s="190">
        <v>0</v>
      </c>
      <c r="K91" s="190">
        <v>267853.09999999998</v>
      </c>
      <c r="L91" s="190">
        <v>0</v>
      </c>
      <c r="M91" s="190">
        <v>0</v>
      </c>
      <c r="N91" s="190">
        <v>0</v>
      </c>
      <c r="O91" s="190">
        <v>0</v>
      </c>
      <c r="P91" s="190">
        <v>267853.09999999998</v>
      </c>
      <c r="Q91" s="190">
        <v>0</v>
      </c>
      <c r="R91" s="190">
        <v>0</v>
      </c>
      <c r="S91" s="190">
        <v>0</v>
      </c>
      <c r="T91" s="192">
        <v>267853.09999999998</v>
      </c>
      <c r="U91" s="204"/>
      <c r="V91" s="184"/>
      <c r="W91" s="184" t="s">
        <v>31</v>
      </c>
      <c r="X91" s="189">
        <v>4536</v>
      </c>
      <c r="Y91" s="189">
        <v>4027</v>
      </c>
      <c r="Z91" s="176" t="s">
        <v>373</v>
      </c>
      <c r="AA91" s="177" t="s">
        <v>472</v>
      </c>
      <c r="AB91" s="181">
        <f>P91-K91</f>
        <v>0</v>
      </c>
      <c r="AC91" s="103">
        <f t="shared" si="5"/>
        <v>0</v>
      </c>
      <c r="AD91" s="19"/>
      <c r="AE91" s="2"/>
      <c r="AJ91" s="144">
        <f>P91-K91</f>
        <v>0</v>
      </c>
      <c r="AN91" s="94" t="s">
        <v>292</v>
      </c>
    </row>
    <row r="92" spans="1:40" ht="409.6" customHeight="1" x14ac:dyDescent="0.65">
      <c r="A92" s="198" t="s">
        <v>36</v>
      </c>
      <c r="B92" s="179" t="s">
        <v>470</v>
      </c>
      <c r="C92" s="179" t="s">
        <v>27</v>
      </c>
      <c r="D92" s="192">
        <v>0</v>
      </c>
      <c r="E92" s="197">
        <v>1037067.6</v>
      </c>
      <c r="F92" s="197">
        <v>0</v>
      </c>
      <c r="G92" s="192">
        <v>0</v>
      </c>
      <c r="H92" s="192">
        <v>0</v>
      </c>
      <c r="I92" s="192">
        <v>0</v>
      </c>
      <c r="J92" s="192">
        <v>0</v>
      </c>
      <c r="K92" s="192">
        <v>1037067.6</v>
      </c>
      <c r="L92" s="192">
        <v>0</v>
      </c>
      <c r="M92" s="192">
        <v>0</v>
      </c>
      <c r="N92" s="192">
        <v>0</v>
      </c>
      <c r="O92" s="192">
        <v>0</v>
      </c>
      <c r="P92" s="192">
        <v>1008193.2</v>
      </c>
      <c r="Q92" s="192">
        <v>0</v>
      </c>
      <c r="R92" s="192">
        <v>0</v>
      </c>
      <c r="S92" s="192">
        <v>0</v>
      </c>
      <c r="T92" s="192">
        <v>171.7</v>
      </c>
      <c r="U92" s="221" t="s">
        <v>569</v>
      </c>
      <c r="V92" s="180"/>
      <c r="W92" s="180" t="s">
        <v>31</v>
      </c>
      <c r="X92" s="183">
        <v>420283</v>
      </c>
      <c r="Y92" s="195">
        <v>401832</v>
      </c>
      <c r="Z92" s="182" t="s">
        <v>373</v>
      </c>
      <c r="AA92" s="179" t="s">
        <v>430</v>
      </c>
      <c r="AB92" s="181">
        <f>P92-K92</f>
        <v>-28874.400000000023</v>
      </c>
      <c r="AC92" s="103">
        <f t="shared" si="5"/>
        <v>-28874.400000000023</v>
      </c>
      <c r="AD92" s="19"/>
      <c r="AE92" s="2"/>
      <c r="AH92" s="12">
        <f>P92/K92*100</f>
        <v>97.215764912528357</v>
      </c>
      <c r="AJ92" s="112">
        <f>P92-K92</f>
        <v>-28874.400000000023</v>
      </c>
      <c r="AN92" s="94" t="s">
        <v>292</v>
      </c>
    </row>
    <row r="93" spans="1:40" ht="409.6" customHeight="1" x14ac:dyDescent="0.65">
      <c r="A93" s="199" t="s">
        <v>37</v>
      </c>
      <c r="B93" s="177" t="s">
        <v>313</v>
      </c>
      <c r="C93" s="177" t="s">
        <v>27</v>
      </c>
      <c r="D93" s="190">
        <v>0</v>
      </c>
      <c r="E93" s="190">
        <v>128758.1</v>
      </c>
      <c r="F93" s="190">
        <v>0</v>
      </c>
      <c r="G93" s="190">
        <v>0</v>
      </c>
      <c r="H93" s="190">
        <v>0</v>
      </c>
      <c r="I93" s="190">
        <v>0</v>
      </c>
      <c r="J93" s="190">
        <v>0</v>
      </c>
      <c r="K93" s="190">
        <v>128758.1</v>
      </c>
      <c r="L93" s="190">
        <v>0</v>
      </c>
      <c r="M93" s="190">
        <v>0</v>
      </c>
      <c r="N93" s="190">
        <v>0</v>
      </c>
      <c r="O93" s="190">
        <v>0</v>
      </c>
      <c r="P93" s="190">
        <v>116559.9</v>
      </c>
      <c r="Q93" s="190">
        <v>0</v>
      </c>
      <c r="R93" s="190">
        <v>0</v>
      </c>
      <c r="S93" s="190">
        <v>0</v>
      </c>
      <c r="T93" s="192">
        <v>1636.3</v>
      </c>
      <c r="U93" s="206" t="s">
        <v>533</v>
      </c>
      <c r="V93" s="184"/>
      <c r="W93" s="184" t="s">
        <v>31</v>
      </c>
      <c r="X93" s="189">
        <v>102000</v>
      </c>
      <c r="Y93" s="189">
        <v>91855</v>
      </c>
      <c r="Z93" s="176" t="s">
        <v>373</v>
      </c>
      <c r="AA93" s="177" t="s">
        <v>430</v>
      </c>
      <c r="AB93" s="181">
        <f>P93-K93</f>
        <v>-12198.200000000012</v>
      </c>
      <c r="AC93" s="103">
        <f t="shared" si="5"/>
        <v>-12198.200000000012</v>
      </c>
      <c r="AD93" s="19"/>
      <c r="AE93" s="2"/>
      <c r="AH93" s="12">
        <f>P93/K93*100</f>
        <v>90.526265920357616</v>
      </c>
      <c r="AJ93" s="112">
        <f>P93-K93</f>
        <v>-12198.200000000012</v>
      </c>
      <c r="AN93" s="94" t="s">
        <v>292</v>
      </c>
    </row>
    <row r="94" spans="1:40" ht="409.6" customHeight="1" x14ac:dyDescent="0.65">
      <c r="A94" s="198" t="s">
        <v>41</v>
      </c>
      <c r="B94" s="179" t="s">
        <v>345</v>
      </c>
      <c r="C94" s="179" t="s">
        <v>27</v>
      </c>
      <c r="D94" s="192">
        <v>25264.2</v>
      </c>
      <c r="E94" s="192">
        <v>0</v>
      </c>
      <c r="F94" s="192">
        <v>0</v>
      </c>
      <c r="G94" s="192">
        <v>0</v>
      </c>
      <c r="H94" s="192">
        <v>0</v>
      </c>
      <c r="I94" s="192">
        <v>25264.2</v>
      </c>
      <c r="J94" s="192">
        <v>0</v>
      </c>
      <c r="K94" s="192">
        <v>0</v>
      </c>
      <c r="L94" s="192">
        <v>0</v>
      </c>
      <c r="M94" s="192">
        <v>0</v>
      </c>
      <c r="N94" s="192">
        <v>19351</v>
      </c>
      <c r="O94" s="192">
        <v>0</v>
      </c>
      <c r="P94" s="192">
        <v>0</v>
      </c>
      <c r="Q94" s="192">
        <v>0</v>
      </c>
      <c r="R94" s="192">
        <v>0</v>
      </c>
      <c r="S94" s="192">
        <v>0</v>
      </c>
      <c r="T94" s="192">
        <v>0</v>
      </c>
      <c r="U94" s="221" t="s">
        <v>574</v>
      </c>
      <c r="V94" s="180"/>
      <c r="W94" s="182" t="s">
        <v>31</v>
      </c>
      <c r="X94" s="180">
        <v>216</v>
      </c>
      <c r="Y94" s="180">
        <v>230</v>
      </c>
      <c r="Z94" s="182" t="s">
        <v>32</v>
      </c>
      <c r="AA94" s="179"/>
      <c r="AB94" s="181">
        <f>N94-I94</f>
        <v>-5913.2000000000007</v>
      </c>
      <c r="AC94" s="103">
        <f>N94-I94</f>
        <v>-5913.2000000000007</v>
      </c>
      <c r="AD94" s="19"/>
      <c r="AE94" s="2"/>
      <c r="AJ94" s="112">
        <f>N94-I94</f>
        <v>-5913.2000000000007</v>
      </c>
      <c r="AN94" s="94" t="s">
        <v>292</v>
      </c>
    </row>
    <row r="95" spans="1:40" ht="409.6" customHeight="1" x14ac:dyDescent="0.65">
      <c r="A95" s="74" t="s">
        <v>463</v>
      </c>
      <c r="B95" s="179" t="s">
        <v>319</v>
      </c>
      <c r="C95" s="181" t="s">
        <v>27</v>
      </c>
      <c r="D95" s="197">
        <v>3774834.3</v>
      </c>
      <c r="E95" s="192">
        <v>0</v>
      </c>
      <c r="F95" s="192">
        <v>0</v>
      </c>
      <c r="G95" s="192">
        <v>0</v>
      </c>
      <c r="H95" s="192">
        <v>0</v>
      </c>
      <c r="I95" s="197">
        <v>3584837.5</v>
      </c>
      <c r="J95" s="192">
        <v>0</v>
      </c>
      <c r="K95" s="192"/>
      <c r="L95" s="192">
        <v>0</v>
      </c>
      <c r="M95" s="192">
        <v>0</v>
      </c>
      <c r="N95" s="192">
        <v>3397682.4</v>
      </c>
      <c r="O95" s="192">
        <v>0</v>
      </c>
      <c r="P95" s="192">
        <v>0</v>
      </c>
      <c r="Q95" s="192">
        <v>0</v>
      </c>
      <c r="R95" s="192">
        <v>0</v>
      </c>
      <c r="S95" s="192">
        <v>0</v>
      </c>
      <c r="T95" s="192">
        <v>405.9</v>
      </c>
      <c r="U95" s="74" t="s">
        <v>575</v>
      </c>
      <c r="V95" s="18"/>
      <c r="W95" s="74" t="s">
        <v>31</v>
      </c>
      <c r="X95" s="183">
        <v>90000</v>
      </c>
      <c r="Y95" s="183">
        <v>93375</v>
      </c>
      <c r="Z95" s="182" t="s">
        <v>32</v>
      </c>
      <c r="AA95" s="179"/>
      <c r="AB95" s="181">
        <f>N95-I95</f>
        <v>-187155.10000000009</v>
      </c>
      <c r="AC95" s="103">
        <f>N95-I95</f>
        <v>-187155.10000000009</v>
      </c>
      <c r="AD95" s="19"/>
      <c r="AE95" s="2"/>
      <c r="AJ95" s="113"/>
      <c r="AN95" s="94" t="s">
        <v>292</v>
      </c>
    </row>
    <row r="96" spans="1:40" ht="409.6" customHeight="1" x14ac:dyDescent="0.65">
      <c r="A96" s="182" t="s">
        <v>118</v>
      </c>
      <c r="B96" s="179" t="s">
        <v>346</v>
      </c>
      <c r="C96" s="181" t="s">
        <v>27</v>
      </c>
      <c r="D96" s="197">
        <v>0</v>
      </c>
      <c r="E96" s="197">
        <v>3636601.4</v>
      </c>
      <c r="F96" s="197">
        <v>0</v>
      </c>
      <c r="G96" s="197">
        <v>0</v>
      </c>
      <c r="H96" s="197">
        <v>0</v>
      </c>
      <c r="I96" s="197">
        <v>0</v>
      </c>
      <c r="J96" s="197">
        <v>0</v>
      </c>
      <c r="K96" s="197">
        <v>3636601.4</v>
      </c>
      <c r="L96" s="197">
        <v>0</v>
      </c>
      <c r="M96" s="197">
        <v>0</v>
      </c>
      <c r="N96" s="197">
        <v>0</v>
      </c>
      <c r="O96" s="197">
        <v>0</v>
      </c>
      <c r="P96" s="197">
        <v>3564094.4</v>
      </c>
      <c r="Q96" s="197">
        <v>0</v>
      </c>
      <c r="R96" s="197">
        <v>0</v>
      </c>
      <c r="S96" s="197">
        <v>0</v>
      </c>
      <c r="T96" s="197">
        <v>41315.599999999999</v>
      </c>
      <c r="U96" s="221" t="s">
        <v>488</v>
      </c>
      <c r="V96" s="182"/>
      <c r="W96" s="182" t="s">
        <v>31</v>
      </c>
      <c r="X96" s="195">
        <v>33300</v>
      </c>
      <c r="Y96" s="195">
        <v>35109</v>
      </c>
      <c r="Z96" s="195" t="s">
        <v>32</v>
      </c>
      <c r="AA96" s="176"/>
      <c r="AB96" s="181">
        <f>P96-K96</f>
        <v>-72507</v>
      </c>
      <c r="AC96" s="103">
        <f t="shared" si="5"/>
        <v>-72507</v>
      </c>
      <c r="AD96" s="19"/>
      <c r="AE96" s="2"/>
      <c r="AJ96" s="143">
        <f>P96-K96</f>
        <v>-72507</v>
      </c>
      <c r="AN96" s="94" t="s">
        <v>292</v>
      </c>
    </row>
    <row r="97" spans="1:40" ht="409.6" customHeight="1" x14ac:dyDescent="0.65">
      <c r="A97" s="74" t="s">
        <v>464</v>
      </c>
      <c r="B97" s="179" t="s">
        <v>347</v>
      </c>
      <c r="C97" s="181" t="s">
        <v>27</v>
      </c>
      <c r="D97" s="197">
        <v>5060415</v>
      </c>
      <c r="E97" s="197">
        <v>0</v>
      </c>
      <c r="F97" s="197">
        <v>0</v>
      </c>
      <c r="G97" s="192">
        <v>0</v>
      </c>
      <c r="H97" s="192">
        <v>0</v>
      </c>
      <c r="I97" s="192">
        <v>5140415</v>
      </c>
      <c r="J97" s="192">
        <v>0</v>
      </c>
      <c r="K97" s="197">
        <v>0</v>
      </c>
      <c r="L97" s="192">
        <v>0</v>
      </c>
      <c r="M97" s="192">
        <v>0</v>
      </c>
      <c r="N97" s="192">
        <v>5119918.5999999996</v>
      </c>
      <c r="O97" s="192">
        <v>0</v>
      </c>
      <c r="P97" s="192">
        <v>0</v>
      </c>
      <c r="Q97" s="192">
        <v>0</v>
      </c>
      <c r="R97" s="192">
        <v>0</v>
      </c>
      <c r="S97" s="192">
        <v>0</v>
      </c>
      <c r="T97" s="192">
        <v>0</v>
      </c>
      <c r="U97" s="74" t="s">
        <v>568</v>
      </c>
      <c r="V97" s="18"/>
      <c r="W97" s="74" t="s">
        <v>31</v>
      </c>
      <c r="X97" s="183">
        <v>48000</v>
      </c>
      <c r="Y97" s="183">
        <v>45709</v>
      </c>
      <c r="Z97" s="182" t="s">
        <v>373</v>
      </c>
      <c r="AA97" s="179" t="s">
        <v>444</v>
      </c>
      <c r="AB97" s="181">
        <f>N97-I97</f>
        <v>-20496.400000000373</v>
      </c>
      <c r="AC97" s="103">
        <f>N97-I97</f>
        <v>-20496.400000000373</v>
      </c>
      <c r="AD97" s="19"/>
      <c r="AE97" s="2"/>
      <c r="AJ97" s="112">
        <f>N97-I97</f>
        <v>-20496.400000000373</v>
      </c>
      <c r="AN97" s="94" t="s">
        <v>292</v>
      </c>
    </row>
    <row r="98" spans="1:40" ht="375" customHeight="1" x14ac:dyDescent="0.65">
      <c r="A98" s="74" t="s">
        <v>465</v>
      </c>
      <c r="B98" s="179" t="s">
        <v>280</v>
      </c>
      <c r="C98" s="196" t="s">
        <v>27</v>
      </c>
      <c r="D98" s="197">
        <v>10638609.4</v>
      </c>
      <c r="E98" s="197">
        <v>3364623.3</v>
      </c>
      <c r="F98" s="192">
        <v>0</v>
      </c>
      <c r="G98" s="192">
        <v>0</v>
      </c>
      <c r="H98" s="192">
        <v>0</v>
      </c>
      <c r="I98" s="192">
        <v>10030624.5</v>
      </c>
      <c r="J98" s="192">
        <v>0</v>
      </c>
      <c r="K98" s="197">
        <f>3167565.6+108315.1</f>
        <v>3275880.7</v>
      </c>
      <c r="L98" s="192">
        <v>0</v>
      </c>
      <c r="M98" s="192">
        <v>0</v>
      </c>
      <c r="N98" s="192">
        <v>9800145.5999999996</v>
      </c>
      <c r="O98" s="192">
        <v>0</v>
      </c>
      <c r="P98" s="192">
        <v>3098578</v>
      </c>
      <c r="Q98" s="192">
        <v>0</v>
      </c>
      <c r="R98" s="192">
        <v>0</v>
      </c>
      <c r="S98" s="192">
        <v>0</v>
      </c>
      <c r="T98" s="192">
        <v>3795.2</v>
      </c>
      <c r="U98" s="74" t="s">
        <v>560</v>
      </c>
      <c r="V98" s="18"/>
      <c r="W98" s="74" t="s">
        <v>31</v>
      </c>
      <c r="X98" s="183">
        <v>226055</v>
      </c>
      <c r="Y98" s="183">
        <v>232007</v>
      </c>
      <c r="Z98" s="182" t="s">
        <v>32</v>
      </c>
      <c r="AA98" s="179"/>
      <c r="AB98" s="181">
        <f>(P98+N98)-(K98+I98)</f>
        <v>-407781.59999999963</v>
      </c>
      <c r="AC98" s="103">
        <f>(N98+P98)-(I98+K98)</f>
        <v>-407781.59999999963</v>
      </c>
      <c r="AD98" s="19"/>
      <c r="AE98" s="2"/>
      <c r="AJ98" s="112">
        <f>(P98+N98)-(I98+K98)</f>
        <v>-407781.59999999963</v>
      </c>
      <c r="AN98" s="94" t="s">
        <v>292</v>
      </c>
    </row>
    <row r="99" spans="1:40" ht="223.5" customHeight="1" x14ac:dyDescent="0.65">
      <c r="A99" s="75" t="s">
        <v>43</v>
      </c>
      <c r="B99" s="179" t="s">
        <v>120</v>
      </c>
      <c r="C99" s="196" t="s">
        <v>27</v>
      </c>
      <c r="D99" s="197">
        <v>0</v>
      </c>
      <c r="E99" s="197">
        <v>17241.400000000001</v>
      </c>
      <c r="F99" s="192">
        <v>0</v>
      </c>
      <c r="G99" s="192">
        <v>0</v>
      </c>
      <c r="H99" s="192">
        <v>0</v>
      </c>
      <c r="I99" s="192">
        <v>0</v>
      </c>
      <c r="J99" s="192">
        <v>0</v>
      </c>
      <c r="K99" s="192">
        <v>17241.400000000001</v>
      </c>
      <c r="L99" s="192">
        <v>0</v>
      </c>
      <c r="M99" s="192">
        <v>0</v>
      </c>
      <c r="N99" s="192">
        <v>0</v>
      </c>
      <c r="O99" s="192">
        <v>0</v>
      </c>
      <c r="P99" s="192">
        <v>17241.400000000001</v>
      </c>
      <c r="Q99" s="192">
        <v>0</v>
      </c>
      <c r="R99" s="192">
        <v>0</v>
      </c>
      <c r="S99" s="192">
        <v>0</v>
      </c>
      <c r="T99" s="192">
        <v>0</v>
      </c>
      <c r="U99" s="74"/>
      <c r="V99" s="18"/>
      <c r="W99" s="18" t="s">
        <v>44</v>
      </c>
      <c r="X99" s="180">
        <v>15</v>
      </c>
      <c r="Y99" s="180">
        <v>15</v>
      </c>
      <c r="Z99" s="182" t="s">
        <v>32</v>
      </c>
      <c r="AA99" s="179"/>
      <c r="AB99" s="179"/>
      <c r="AC99" s="103">
        <f t="shared" si="5"/>
        <v>0</v>
      </c>
      <c r="AD99" s="19"/>
      <c r="AE99" s="2"/>
      <c r="AJ99" s="112">
        <f>P99-K99</f>
        <v>0</v>
      </c>
      <c r="AN99" s="94" t="s">
        <v>293</v>
      </c>
    </row>
    <row r="100" spans="1:40" ht="409.6" customHeight="1" x14ac:dyDescent="0.65">
      <c r="A100" s="198" t="s">
        <v>45</v>
      </c>
      <c r="B100" s="179" t="s">
        <v>121</v>
      </c>
      <c r="C100" s="196" t="s">
        <v>27</v>
      </c>
      <c r="D100" s="192">
        <v>0</v>
      </c>
      <c r="E100" s="192">
        <v>77241.5</v>
      </c>
      <c r="F100" s="192">
        <v>0</v>
      </c>
      <c r="G100" s="192">
        <v>0</v>
      </c>
      <c r="H100" s="192">
        <v>0</v>
      </c>
      <c r="I100" s="192">
        <v>0</v>
      </c>
      <c r="J100" s="192">
        <v>0</v>
      </c>
      <c r="K100" s="192">
        <v>77241.5</v>
      </c>
      <c r="L100" s="192">
        <v>0</v>
      </c>
      <c r="M100" s="192">
        <v>0</v>
      </c>
      <c r="N100" s="192">
        <v>0</v>
      </c>
      <c r="O100" s="192">
        <v>0</v>
      </c>
      <c r="P100" s="192">
        <v>77200</v>
      </c>
      <c r="Q100" s="192">
        <v>0</v>
      </c>
      <c r="R100" s="192">
        <v>0</v>
      </c>
      <c r="S100" s="192">
        <v>0</v>
      </c>
      <c r="T100" s="192">
        <v>0</v>
      </c>
      <c r="U100" s="222" t="s">
        <v>571</v>
      </c>
      <c r="V100" s="180"/>
      <c r="W100" s="180" t="s">
        <v>31</v>
      </c>
      <c r="X100" s="183">
        <v>242</v>
      </c>
      <c r="Y100" s="183">
        <v>242</v>
      </c>
      <c r="Z100" s="182" t="s">
        <v>32</v>
      </c>
      <c r="AA100" s="179"/>
      <c r="AB100" s="181">
        <f>P100-K100</f>
        <v>-41.5</v>
      </c>
      <c r="AC100" s="103">
        <f t="shared" si="5"/>
        <v>-41.5</v>
      </c>
      <c r="AD100" s="108"/>
      <c r="AE100" s="26"/>
      <c r="AJ100" s="113">
        <f>P100-K100</f>
        <v>-41.5</v>
      </c>
      <c r="AN100" s="94" t="s">
        <v>294</v>
      </c>
    </row>
    <row r="101" spans="1:40" ht="409.6" customHeight="1" x14ac:dyDescent="0.65">
      <c r="A101" s="198" t="s">
        <v>47</v>
      </c>
      <c r="B101" s="179" t="s">
        <v>122</v>
      </c>
      <c r="C101" s="196" t="s">
        <v>27</v>
      </c>
      <c r="D101" s="192">
        <v>0</v>
      </c>
      <c r="E101" s="197">
        <v>1409693.8</v>
      </c>
      <c r="F101" s="197">
        <v>0</v>
      </c>
      <c r="G101" s="192">
        <v>0</v>
      </c>
      <c r="H101" s="192">
        <v>0</v>
      </c>
      <c r="I101" s="192">
        <v>0</v>
      </c>
      <c r="J101" s="192">
        <v>0</v>
      </c>
      <c r="K101" s="197">
        <v>1409693.8</v>
      </c>
      <c r="L101" s="192">
        <v>0</v>
      </c>
      <c r="M101" s="192">
        <v>0</v>
      </c>
      <c r="N101" s="192">
        <v>0</v>
      </c>
      <c r="O101" s="192">
        <v>0</v>
      </c>
      <c r="P101" s="192">
        <v>1393650.2</v>
      </c>
      <c r="Q101" s="192">
        <v>0</v>
      </c>
      <c r="R101" s="192">
        <v>0</v>
      </c>
      <c r="S101" s="192">
        <v>0</v>
      </c>
      <c r="T101" s="192">
        <v>19436.099999999999</v>
      </c>
      <c r="U101" s="221" t="s">
        <v>534</v>
      </c>
      <c r="V101" s="180"/>
      <c r="W101" s="182" t="s">
        <v>31</v>
      </c>
      <c r="X101" s="183">
        <v>290000</v>
      </c>
      <c r="Y101" s="195">
        <v>298052</v>
      </c>
      <c r="Z101" s="182" t="s">
        <v>32</v>
      </c>
      <c r="AA101" s="179"/>
      <c r="AB101" s="181">
        <f>P101-K101</f>
        <v>-16043.600000000093</v>
      </c>
      <c r="AC101" s="103">
        <f t="shared" si="5"/>
        <v>-16043.600000000093</v>
      </c>
      <c r="AD101" s="19"/>
      <c r="AE101" s="2"/>
      <c r="AJ101" s="112">
        <f>P101-K101</f>
        <v>-16043.600000000093</v>
      </c>
      <c r="AN101" s="94" t="s">
        <v>292</v>
      </c>
    </row>
    <row r="102" spans="1:40" ht="409.6" customHeight="1" x14ac:dyDescent="0.65">
      <c r="A102" s="182" t="s">
        <v>98</v>
      </c>
      <c r="B102" s="179" t="s">
        <v>123</v>
      </c>
      <c r="C102" s="196" t="s">
        <v>27</v>
      </c>
      <c r="D102" s="197">
        <v>37175.9</v>
      </c>
      <c r="E102" s="192">
        <v>0</v>
      </c>
      <c r="F102" s="192">
        <v>0</v>
      </c>
      <c r="G102" s="192">
        <v>0</v>
      </c>
      <c r="H102" s="192">
        <v>0</v>
      </c>
      <c r="I102" s="197">
        <v>37175.9</v>
      </c>
      <c r="J102" s="192">
        <v>0</v>
      </c>
      <c r="K102" s="192">
        <v>0</v>
      </c>
      <c r="L102" s="192">
        <v>0</v>
      </c>
      <c r="M102" s="192">
        <v>0</v>
      </c>
      <c r="N102" s="192">
        <v>36489.699999999997</v>
      </c>
      <c r="O102" s="192">
        <v>0</v>
      </c>
      <c r="P102" s="192">
        <v>0</v>
      </c>
      <c r="Q102" s="192">
        <v>0</v>
      </c>
      <c r="R102" s="192">
        <v>0</v>
      </c>
      <c r="S102" s="192">
        <v>0</v>
      </c>
      <c r="T102" s="192">
        <v>0</v>
      </c>
      <c r="U102" s="221" t="s">
        <v>535</v>
      </c>
      <c r="V102" s="180"/>
      <c r="W102" s="180" t="s">
        <v>31</v>
      </c>
      <c r="X102" s="183">
        <v>1600</v>
      </c>
      <c r="Y102" s="180">
        <v>1663</v>
      </c>
      <c r="Z102" s="182" t="s">
        <v>32</v>
      </c>
      <c r="AA102" s="179"/>
      <c r="AB102" s="181">
        <f>N102-I102</f>
        <v>-686.20000000000437</v>
      </c>
      <c r="AC102" s="103">
        <f>N102-I102</f>
        <v>-686.20000000000437</v>
      </c>
      <c r="AD102" s="19"/>
      <c r="AE102" s="2"/>
      <c r="AJ102" s="112">
        <f>N102-I102</f>
        <v>-686.20000000000437</v>
      </c>
      <c r="AN102" s="94" t="s">
        <v>294</v>
      </c>
    </row>
    <row r="103" spans="1:40" ht="409.6" customHeight="1" x14ac:dyDescent="0.65">
      <c r="A103" s="182" t="s">
        <v>102</v>
      </c>
      <c r="B103" s="179" t="s">
        <v>124</v>
      </c>
      <c r="C103" s="196" t="s">
        <v>27</v>
      </c>
      <c r="D103" s="197">
        <v>0</v>
      </c>
      <c r="E103" s="197">
        <v>523891.7</v>
      </c>
      <c r="F103" s="192">
        <v>0</v>
      </c>
      <c r="G103" s="192">
        <v>0</v>
      </c>
      <c r="H103" s="192">
        <v>0</v>
      </c>
      <c r="I103" s="197">
        <v>0</v>
      </c>
      <c r="J103" s="192">
        <v>0</v>
      </c>
      <c r="K103" s="197">
        <v>523891.7</v>
      </c>
      <c r="L103" s="192">
        <v>0</v>
      </c>
      <c r="M103" s="192">
        <v>0</v>
      </c>
      <c r="N103" s="192">
        <v>0</v>
      </c>
      <c r="O103" s="192">
        <v>0</v>
      </c>
      <c r="P103" s="192">
        <v>515664.8</v>
      </c>
      <c r="Q103" s="192">
        <v>0</v>
      </c>
      <c r="R103" s="192">
        <v>0</v>
      </c>
      <c r="S103" s="192">
        <v>0</v>
      </c>
      <c r="T103" s="192">
        <v>2073.8000000000002</v>
      </c>
      <c r="U103" s="221" t="s">
        <v>579</v>
      </c>
      <c r="V103" s="180"/>
      <c r="W103" s="180" t="s">
        <v>31</v>
      </c>
      <c r="X103" s="183">
        <v>3600</v>
      </c>
      <c r="Y103" s="183">
        <v>4831</v>
      </c>
      <c r="Z103" s="182" t="s">
        <v>32</v>
      </c>
      <c r="AA103" s="179"/>
      <c r="AB103" s="181">
        <f>P103-K103</f>
        <v>-8226.9000000000233</v>
      </c>
      <c r="AC103" s="103">
        <f t="shared" si="5"/>
        <v>-8226.9000000000233</v>
      </c>
      <c r="AD103" s="19"/>
      <c r="AE103" s="2"/>
      <c r="AH103" s="12">
        <f>P103/K103*100</f>
        <v>98.429656358365662</v>
      </c>
      <c r="AJ103" s="112">
        <f>P103-K103</f>
        <v>-8226.9000000000233</v>
      </c>
      <c r="AN103" s="94" t="s">
        <v>285</v>
      </c>
    </row>
    <row r="104" spans="1:40" ht="214.5" customHeight="1" x14ac:dyDescent="0.65">
      <c r="A104" s="182" t="s">
        <v>104</v>
      </c>
      <c r="B104" s="179" t="s">
        <v>376</v>
      </c>
      <c r="C104" s="196" t="s">
        <v>27</v>
      </c>
      <c r="D104" s="197">
        <v>0</v>
      </c>
      <c r="E104" s="197">
        <v>203.5</v>
      </c>
      <c r="F104" s="192">
        <v>0</v>
      </c>
      <c r="G104" s="192">
        <v>0</v>
      </c>
      <c r="H104" s="192">
        <v>0</v>
      </c>
      <c r="I104" s="197">
        <v>0</v>
      </c>
      <c r="J104" s="192">
        <v>0</v>
      </c>
      <c r="K104" s="197">
        <v>203.5</v>
      </c>
      <c r="L104" s="192">
        <v>0</v>
      </c>
      <c r="M104" s="192">
        <v>0</v>
      </c>
      <c r="N104" s="192">
        <v>0</v>
      </c>
      <c r="O104" s="192">
        <v>0</v>
      </c>
      <c r="P104" s="192">
        <v>203.5</v>
      </c>
      <c r="Q104" s="192">
        <v>0</v>
      </c>
      <c r="R104" s="192">
        <v>0</v>
      </c>
      <c r="S104" s="192">
        <v>0</v>
      </c>
      <c r="T104" s="192">
        <v>203.5</v>
      </c>
      <c r="U104" s="221"/>
      <c r="V104" s="180"/>
      <c r="W104" s="180" t="s">
        <v>125</v>
      </c>
      <c r="X104" s="183">
        <v>6950</v>
      </c>
      <c r="Y104" s="183">
        <v>6950</v>
      </c>
      <c r="Z104" s="182" t="s">
        <v>32</v>
      </c>
      <c r="AA104" s="179"/>
      <c r="AB104" s="181">
        <f t="shared" ref="AB104:AB105" si="6">P104-K104</f>
        <v>0</v>
      </c>
      <c r="AC104" s="103">
        <f t="shared" si="5"/>
        <v>0</v>
      </c>
      <c r="AD104" s="19"/>
      <c r="AE104" s="2"/>
      <c r="AJ104" s="112"/>
      <c r="AN104" s="94" t="s">
        <v>293</v>
      </c>
    </row>
    <row r="105" spans="1:40" ht="409.6" customHeight="1" x14ac:dyDescent="0.65">
      <c r="A105" s="233" t="s">
        <v>48</v>
      </c>
      <c r="B105" s="237" t="s">
        <v>312</v>
      </c>
      <c r="C105" s="236" t="s">
        <v>27</v>
      </c>
      <c r="D105" s="234">
        <v>0</v>
      </c>
      <c r="E105" s="235">
        <v>1952933</v>
      </c>
      <c r="F105" s="235">
        <v>0</v>
      </c>
      <c r="G105" s="234">
        <v>0</v>
      </c>
      <c r="H105" s="234">
        <v>0</v>
      </c>
      <c r="I105" s="234">
        <v>0</v>
      </c>
      <c r="J105" s="234">
        <v>0</v>
      </c>
      <c r="K105" s="234">
        <v>1952933</v>
      </c>
      <c r="L105" s="234">
        <v>0</v>
      </c>
      <c r="M105" s="234">
        <v>0</v>
      </c>
      <c r="N105" s="234">
        <v>0</v>
      </c>
      <c r="O105" s="234">
        <v>0</v>
      </c>
      <c r="P105" s="234">
        <v>1912146</v>
      </c>
      <c r="Q105" s="234">
        <v>0</v>
      </c>
      <c r="R105" s="234">
        <v>0</v>
      </c>
      <c r="S105" s="234">
        <v>0</v>
      </c>
      <c r="T105" s="234">
        <v>0</v>
      </c>
      <c r="U105" s="237" t="s">
        <v>561</v>
      </c>
      <c r="V105" s="239"/>
      <c r="W105" s="239" t="s">
        <v>31</v>
      </c>
      <c r="X105" s="257">
        <v>14743</v>
      </c>
      <c r="Y105" s="240">
        <v>14853</v>
      </c>
      <c r="Z105" s="238" t="s">
        <v>32</v>
      </c>
      <c r="AA105" s="250"/>
      <c r="AB105" s="181">
        <f t="shared" si="6"/>
        <v>-40787</v>
      </c>
      <c r="AC105" s="103">
        <f t="shared" si="5"/>
        <v>-40787</v>
      </c>
      <c r="AD105" s="19"/>
      <c r="AE105" s="21"/>
      <c r="AH105" s="12">
        <f>P105/K105*100</f>
        <v>97.911500292124714</v>
      </c>
      <c r="AJ105" s="234">
        <f>P105-K105</f>
        <v>-40787</v>
      </c>
      <c r="AN105" s="94" t="s">
        <v>294</v>
      </c>
    </row>
    <row r="106" spans="1:40" ht="264.75" customHeight="1" x14ac:dyDescent="0.65">
      <c r="A106" s="233"/>
      <c r="B106" s="237"/>
      <c r="C106" s="236"/>
      <c r="D106" s="234"/>
      <c r="E106" s="235"/>
      <c r="F106" s="235"/>
      <c r="G106" s="234"/>
      <c r="H106" s="234"/>
      <c r="I106" s="234"/>
      <c r="J106" s="234"/>
      <c r="K106" s="234"/>
      <c r="L106" s="234"/>
      <c r="M106" s="234"/>
      <c r="N106" s="234"/>
      <c r="O106" s="234"/>
      <c r="P106" s="234"/>
      <c r="Q106" s="234"/>
      <c r="R106" s="234"/>
      <c r="S106" s="234"/>
      <c r="T106" s="234"/>
      <c r="U106" s="237"/>
      <c r="V106" s="239"/>
      <c r="W106" s="239"/>
      <c r="X106" s="257"/>
      <c r="Y106" s="240"/>
      <c r="Z106" s="238"/>
      <c r="AA106" s="251"/>
      <c r="AB106" s="179"/>
      <c r="AC106" s="103"/>
      <c r="AD106" s="19"/>
      <c r="AE106" s="2"/>
      <c r="AH106" s="12"/>
      <c r="AJ106" s="234"/>
    </row>
    <row r="107" spans="1:40" ht="409.5" customHeight="1" x14ac:dyDescent="0.65">
      <c r="A107" s="233" t="s">
        <v>49</v>
      </c>
      <c r="B107" s="237" t="s">
        <v>348</v>
      </c>
      <c r="C107" s="236" t="s">
        <v>27</v>
      </c>
      <c r="D107" s="234">
        <v>0</v>
      </c>
      <c r="E107" s="235">
        <v>1672359.4</v>
      </c>
      <c r="F107" s="235">
        <v>0</v>
      </c>
      <c r="G107" s="234">
        <v>0</v>
      </c>
      <c r="H107" s="234">
        <v>0</v>
      </c>
      <c r="I107" s="234">
        <v>0</v>
      </c>
      <c r="J107" s="234">
        <v>0</v>
      </c>
      <c r="K107" s="234">
        <v>1672359.4</v>
      </c>
      <c r="L107" s="234">
        <v>0</v>
      </c>
      <c r="M107" s="234">
        <v>0</v>
      </c>
      <c r="N107" s="234">
        <v>0</v>
      </c>
      <c r="O107" s="234">
        <v>0</v>
      </c>
      <c r="P107" s="234">
        <v>1599842.1</v>
      </c>
      <c r="Q107" s="234">
        <v>0</v>
      </c>
      <c r="R107" s="234">
        <v>0</v>
      </c>
      <c r="S107" s="234">
        <v>0</v>
      </c>
      <c r="T107" s="234">
        <v>0</v>
      </c>
      <c r="U107" s="237" t="s">
        <v>562</v>
      </c>
      <c r="V107" s="239"/>
      <c r="W107" s="239" t="s">
        <v>31</v>
      </c>
      <c r="X107" s="240">
        <v>8612</v>
      </c>
      <c r="Y107" s="240">
        <v>8615</v>
      </c>
      <c r="Z107" s="238" t="s">
        <v>32</v>
      </c>
      <c r="AA107" s="265"/>
      <c r="AB107" s="181">
        <f>P107-K107</f>
        <v>-72517.299999999814</v>
      </c>
      <c r="AC107" s="103">
        <f t="shared" si="5"/>
        <v>-72517.299999999814</v>
      </c>
      <c r="AD107" s="19"/>
      <c r="AE107" s="2"/>
      <c r="AH107" s="12">
        <f>P107/K107*100</f>
        <v>95.663772990422999</v>
      </c>
      <c r="AJ107" s="234">
        <f>P107-K107</f>
        <v>-72517.299999999814</v>
      </c>
      <c r="AN107" s="94" t="s">
        <v>294</v>
      </c>
    </row>
    <row r="108" spans="1:40" ht="237.75" customHeight="1" x14ac:dyDescent="0.65">
      <c r="A108" s="233"/>
      <c r="B108" s="237"/>
      <c r="C108" s="236"/>
      <c r="D108" s="234"/>
      <c r="E108" s="235"/>
      <c r="F108" s="235"/>
      <c r="G108" s="234"/>
      <c r="H108" s="234"/>
      <c r="I108" s="234"/>
      <c r="J108" s="234"/>
      <c r="K108" s="234"/>
      <c r="L108" s="234"/>
      <c r="M108" s="234"/>
      <c r="N108" s="234"/>
      <c r="O108" s="234"/>
      <c r="P108" s="234"/>
      <c r="Q108" s="234"/>
      <c r="R108" s="234"/>
      <c r="S108" s="234"/>
      <c r="T108" s="234"/>
      <c r="U108" s="237"/>
      <c r="V108" s="239"/>
      <c r="W108" s="239"/>
      <c r="X108" s="240"/>
      <c r="Y108" s="240"/>
      <c r="Z108" s="238"/>
      <c r="AA108" s="266"/>
      <c r="AB108" s="179"/>
      <c r="AC108" s="103"/>
      <c r="AD108" s="19"/>
      <c r="AE108" s="2"/>
      <c r="AH108" s="12"/>
      <c r="AJ108" s="234"/>
    </row>
    <row r="109" spans="1:40" ht="409.5" customHeight="1" x14ac:dyDescent="0.65">
      <c r="A109" s="233" t="s">
        <v>126</v>
      </c>
      <c r="B109" s="237" t="s">
        <v>349</v>
      </c>
      <c r="C109" s="236" t="s">
        <v>27</v>
      </c>
      <c r="D109" s="234">
        <v>0</v>
      </c>
      <c r="E109" s="235">
        <v>12352</v>
      </c>
      <c r="F109" s="235">
        <v>0</v>
      </c>
      <c r="G109" s="234">
        <v>0</v>
      </c>
      <c r="H109" s="234">
        <v>0</v>
      </c>
      <c r="I109" s="234">
        <v>0</v>
      </c>
      <c r="J109" s="234">
        <v>0</v>
      </c>
      <c r="K109" s="234">
        <v>12352</v>
      </c>
      <c r="L109" s="234">
        <v>0</v>
      </c>
      <c r="M109" s="234">
        <v>0</v>
      </c>
      <c r="N109" s="234">
        <v>0</v>
      </c>
      <c r="O109" s="234">
        <v>0</v>
      </c>
      <c r="P109" s="234">
        <v>9204.6</v>
      </c>
      <c r="Q109" s="234">
        <v>0</v>
      </c>
      <c r="R109" s="234">
        <v>0</v>
      </c>
      <c r="S109" s="234">
        <v>0</v>
      </c>
      <c r="T109" s="234">
        <v>0</v>
      </c>
      <c r="U109" s="237" t="s">
        <v>563</v>
      </c>
      <c r="V109" s="239"/>
      <c r="W109" s="239" t="s">
        <v>31</v>
      </c>
      <c r="X109" s="239">
        <v>152</v>
      </c>
      <c r="Y109" s="239">
        <v>156</v>
      </c>
      <c r="Z109" s="238" t="s">
        <v>32</v>
      </c>
      <c r="AA109" s="250"/>
      <c r="AB109" s="181">
        <f>P109-K109</f>
        <v>-3147.3999999999996</v>
      </c>
      <c r="AC109" s="103">
        <f t="shared" si="5"/>
        <v>-3147.3999999999996</v>
      </c>
      <c r="AD109" s="106"/>
      <c r="AE109" s="23"/>
      <c r="AJ109" s="234">
        <f>P109-K109</f>
        <v>-3147.3999999999996</v>
      </c>
      <c r="AN109" s="94" t="s">
        <v>294</v>
      </c>
    </row>
    <row r="110" spans="1:40" ht="228.75" customHeight="1" x14ac:dyDescent="0.65">
      <c r="A110" s="233"/>
      <c r="B110" s="237"/>
      <c r="C110" s="236"/>
      <c r="D110" s="234"/>
      <c r="E110" s="235"/>
      <c r="F110" s="235"/>
      <c r="G110" s="234"/>
      <c r="H110" s="234"/>
      <c r="I110" s="234"/>
      <c r="J110" s="234"/>
      <c r="K110" s="234"/>
      <c r="L110" s="234"/>
      <c r="M110" s="234"/>
      <c r="N110" s="234"/>
      <c r="O110" s="234"/>
      <c r="P110" s="234"/>
      <c r="Q110" s="234"/>
      <c r="R110" s="234"/>
      <c r="S110" s="234"/>
      <c r="T110" s="234"/>
      <c r="U110" s="237"/>
      <c r="V110" s="239"/>
      <c r="W110" s="239"/>
      <c r="X110" s="239"/>
      <c r="Y110" s="239"/>
      <c r="Z110" s="238"/>
      <c r="AA110" s="251"/>
      <c r="AB110" s="179"/>
      <c r="AC110" s="103"/>
      <c r="AD110" s="106"/>
      <c r="AE110" s="23"/>
      <c r="AJ110" s="234"/>
    </row>
    <row r="111" spans="1:40" ht="408.75" customHeight="1" x14ac:dyDescent="0.65">
      <c r="A111" s="233" t="s">
        <v>127</v>
      </c>
      <c r="B111" s="237" t="s">
        <v>320</v>
      </c>
      <c r="C111" s="236" t="s">
        <v>27</v>
      </c>
      <c r="D111" s="234">
        <v>0</v>
      </c>
      <c r="E111" s="234">
        <v>14730.2</v>
      </c>
      <c r="F111" s="234">
        <v>0</v>
      </c>
      <c r="G111" s="234">
        <v>0</v>
      </c>
      <c r="H111" s="234">
        <v>0</v>
      </c>
      <c r="I111" s="234">
        <v>0</v>
      </c>
      <c r="J111" s="234">
        <v>0</v>
      </c>
      <c r="K111" s="234">
        <v>14730.2</v>
      </c>
      <c r="L111" s="234">
        <v>0</v>
      </c>
      <c r="M111" s="234">
        <v>0</v>
      </c>
      <c r="N111" s="234">
        <v>0</v>
      </c>
      <c r="O111" s="234">
        <v>0</v>
      </c>
      <c r="P111" s="234">
        <v>10686.7</v>
      </c>
      <c r="Q111" s="234">
        <v>0</v>
      </c>
      <c r="R111" s="234">
        <v>0</v>
      </c>
      <c r="S111" s="234">
        <v>0</v>
      </c>
      <c r="T111" s="234">
        <v>0</v>
      </c>
      <c r="U111" s="237" t="s">
        <v>564</v>
      </c>
      <c r="V111" s="239"/>
      <c r="W111" s="239" t="s">
        <v>31</v>
      </c>
      <c r="X111" s="239">
        <v>152</v>
      </c>
      <c r="Y111" s="239">
        <v>156</v>
      </c>
      <c r="Z111" s="238" t="s">
        <v>32</v>
      </c>
      <c r="AA111" s="250"/>
      <c r="AB111" s="181">
        <f>P111-K111</f>
        <v>-4043.5</v>
      </c>
      <c r="AC111" s="103">
        <f t="shared" si="5"/>
        <v>-4043.5</v>
      </c>
      <c r="AD111" s="19"/>
      <c r="AE111" s="2"/>
      <c r="AH111" s="12">
        <f>P111/K111*100</f>
        <v>72.549591994677598</v>
      </c>
      <c r="AI111" s="12">
        <f>P111-K111</f>
        <v>-4043.5</v>
      </c>
      <c r="AJ111" s="234">
        <f>P111-K111</f>
        <v>-4043.5</v>
      </c>
      <c r="AN111" s="94" t="s">
        <v>294</v>
      </c>
    </row>
    <row r="112" spans="1:40" ht="253.5" customHeight="1" x14ac:dyDescent="0.65">
      <c r="A112" s="233"/>
      <c r="B112" s="237"/>
      <c r="C112" s="236"/>
      <c r="D112" s="234"/>
      <c r="E112" s="234"/>
      <c r="F112" s="234"/>
      <c r="G112" s="234"/>
      <c r="H112" s="234"/>
      <c r="I112" s="234"/>
      <c r="J112" s="234"/>
      <c r="K112" s="234"/>
      <c r="L112" s="234"/>
      <c r="M112" s="234"/>
      <c r="N112" s="234"/>
      <c r="O112" s="234"/>
      <c r="P112" s="234"/>
      <c r="Q112" s="234"/>
      <c r="R112" s="234"/>
      <c r="S112" s="234"/>
      <c r="T112" s="234"/>
      <c r="U112" s="237"/>
      <c r="V112" s="239"/>
      <c r="W112" s="239"/>
      <c r="X112" s="239"/>
      <c r="Y112" s="239"/>
      <c r="Z112" s="238"/>
      <c r="AA112" s="251"/>
      <c r="AB112" s="179"/>
      <c r="AC112" s="103"/>
      <c r="AD112" s="19"/>
      <c r="AE112" s="2"/>
      <c r="AH112" s="12"/>
      <c r="AI112" s="12"/>
      <c r="AJ112" s="234"/>
    </row>
    <row r="113" spans="1:40" ht="409.6" customHeight="1" x14ac:dyDescent="0.65">
      <c r="A113" s="233" t="s">
        <v>128</v>
      </c>
      <c r="B113" s="237" t="s">
        <v>283</v>
      </c>
      <c r="C113" s="236" t="s">
        <v>27</v>
      </c>
      <c r="D113" s="234">
        <v>0</v>
      </c>
      <c r="E113" s="235">
        <v>389814.9</v>
      </c>
      <c r="F113" s="235">
        <v>0</v>
      </c>
      <c r="G113" s="234">
        <v>0</v>
      </c>
      <c r="H113" s="234">
        <v>0</v>
      </c>
      <c r="I113" s="234">
        <v>0</v>
      </c>
      <c r="J113" s="234">
        <v>0</v>
      </c>
      <c r="K113" s="234">
        <v>389814.9</v>
      </c>
      <c r="L113" s="234">
        <v>0</v>
      </c>
      <c r="M113" s="234">
        <v>0</v>
      </c>
      <c r="N113" s="234">
        <v>0</v>
      </c>
      <c r="O113" s="234">
        <v>0</v>
      </c>
      <c r="P113" s="234">
        <v>377149.6</v>
      </c>
      <c r="Q113" s="234">
        <v>0</v>
      </c>
      <c r="R113" s="234">
        <v>0</v>
      </c>
      <c r="S113" s="234">
        <v>0</v>
      </c>
      <c r="T113" s="234">
        <v>0</v>
      </c>
      <c r="U113" s="254" t="s">
        <v>590</v>
      </c>
      <c r="V113" s="239"/>
      <c r="W113" s="239" t="s">
        <v>31</v>
      </c>
      <c r="X113" s="239">
        <v>525</v>
      </c>
      <c r="Y113" s="239">
        <v>484</v>
      </c>
      <c r="Z113" s="238" t="s">
        <v>373</v>
      </c>
      <c r="AA113" s="237" t="s">
        <v>589</v>
      </c>
      <c r="AB113" s="181">
        <f>P113-K113</f>
        <v>-12665.300000000047</v>
      </c>
      <c r="AC113" s="103">
        <f t="shared" si="5"/>
        <v>-12665.300000000047</v>
      </c>
      <c r="AD113" s="19"/>
      <c r="AE113" s="2"/>
      <c r="AJ113" s="112">
        <f>P113-K113</f>
        <v>-12665.300000000047</v>
      </c>
      <c r="AN113" s="94" t="s">
        <v>294</v>
      </c>
    </row>
    <row r="114" spans="1:40" ht="344.25" customHeight="1" x14ac:dyDescent="0.65">
      <c r="A114" s="233"/>
      <c r="B114" s="237"/>
      <c r="C114" s="236"/>
      <c r="D114" s="234"/>
      <c r="E114" s="235"/>
      <c r="F114" s="235"/>
      <c r="G114" s="234"/>
      <c r="H114" s="234"/>
      <c r="I114" s="234"/>
      <c r="J114" s="234"/>
      <c r="K114" s="234"/>
      <c r="L114" s="234"/>
      <c r="M114" s="234"/>
      <c r="N114" s="234"/>
      <c r="O114" s="234"/>
      <c r="P114" s="234"/>
      <c r="Q114" s="234"/>
      <c r="R114" s="234"/>
      <c r="S114" s="234"/>
      <c r="T114" s="234"/>
      <c r="U114" s="254"/>
      <c r="V114" s="239"/>
      <c r="W114" s="239"/>
      <c r="X114" s="239"/>
      <c r="Y114" s="239"/>
      <c r="Z114" s="238"/>
      <c r="AA114" s="237"/>
      <c r="AB114" s="179"/>
      <c r="AC114" s="103">
        <f t="shared" si="5"/>
        <v>0</v>
      </c>
      <c r="AD114" s="19"/>
      <c r="AE114" s="2"/>
      <c r="AJ114" s="112"/>
    </row>
    <row r="115" spans="1:40" ht="408.75" customHeight="1" x14ac:dyDescent="0.65">
      <c r="A115" s="233" t="s">
        <v>129</v>
      </c>
      <c r="B115" s="237" t="s">
        <v>350</v>
      </c>
      <c r="C115" s="236" t="s">
        <v>27</v>
      </c>
      <c r="D115" s="234">
        <v>0</v>
      </c>
      <c r="E115" s="235">
        <v>28195.200000000001</v>
      </c>
      <c r="F115" s="235">
        <v>0</v>
      </c>
      <c r="G115" s="234">
        <v>0</v>
      </c>
      <c r="H115" s="234">
        <v>0</v>
      </c>
      <c r="I115" s="234">
        <v>0</v>
      </c>
      <c r="J115" s="234">
        <v>0</v>
      </c>
      <c r="K115" s="234">
        <v>28195.200000000001</v>
      </c>
      <c r="L115" s="234">
        <v>0</v>
      </c>
      <c r="M115" s="234">
        <v>0</v>
      </c>
      <c r="N115" s="234">
        <v>0</v>
      </c>
      <c r="O115" s="234">
        <v>0</v>
      </c>
      <c r="P115" s="234">
        <v>27110</v>
      </c>
      <c r="Q115" s="234">
        <v>0</v>
      </c>
      <c r="R115" s="234">
        <v>0</v>
      </c>
      <c r="S115" s="234">
        <v>0</v>
      </c>
      <c r="T115" s="234">
        <v>0</v>
      </c>
      <c r="U115" s="260" t="s">
        <v>489</v>
      </c>
      <c r="V115" s="239"/>
      <c r="W115" s="239" t="s">
        <v>31</v>
      </c>
      <c r="X115" s="239">
        <v>44</v>
      </c>
      <c r="Y115" s="239">
        <v>44</v>
      </c>
      <c r="Z115" s="238" t="s">
        <v>32</v>
      </c>
      <c r="AA115" s="258"/>
      <c r="AB115" s="90">
        <f>P115-K115</f>
        <v>-1085.2000000000007</v>
      </c>
      <c r="AC115" s="103">
        <f t="shared" si="5"/>
        <v>-1085.2000000000007</v>
      </c>
      <c r="AD115" s="19"/>
      <c r="AE115" s="2"/>
      <c r="AJ115" s="112">
        <f>P115-K115</f>
        <v>-1085.2000000000007</v>
      </c>
      <c r="AN115" s="94" t="s">
        <v>295</v>
      </c>
    </row>
    <row r="116" spans="1:40" ht="195" customHeight="1" x14ac:dyDescent="0.65">
      <c r="A116" s="233"/>
      <c r="B116" s="237"/>
      <c r="C116" s="236"/>
      <c r="D116" s="234"/>
      <c r="E116" s="235"/>
      <c r="F116" s="235"/>
      <c r="G116" s="234"/>
      <c r="H116" s="234"/>
      <c r="I116" s="234"/>
      <c r="J116" s="234"/>
      <c r="K116" s="234"/>
      <c r="L116" s="234"/>
      <c r="M116" s="234"/>
      <c r="N116" s="234"/>
      <c r="O116" s="234"/>
      <c r="P116" s="234"/>
      <c r="Q116" s="234"/>
      <c r="R116" s="234"/>
      <c r="S116" s="234"/>
      <c r="T116" s="234"/>
      <c r="U116" s="260"/>
      <c r="V116" s="239"/>
      <c r="W116" s="239"/>
      <c r="X116" s="239"/>
      <c r="Y116" s="239"/>
      <c r="Z116" s="238"/>
      <c r="AA116" s="258"/>
      <c r="AB116" s="185"/>
      <c r="AC116" s="103">
        <f t="shared" si="5"/>
        <v>0</v>
      </c>
      <c r="AD116" s="19"/>
      <c r="AE116" s="2"/>
      <c r="AJ116" s="112"/>
    </row>
    <row r="117" spans="1:40" ht="409.6" customHeight="1" x14ac:dyDescent="0.65">
      <c r="A117" s="198" t="s">
        <v>130</v>
      </c>
      <c r="B117" s="179" t="s">
        <v>351</v>
      </c>
      <c r="C117" s="196" t="s">
        <v>27</v>
      </c>
      <c r="D117" s="192">
        <v>0</v>
      </c>
      <c r="E117" s="192">
        <v>183274</v>
      </c>
      <c r="F117" s="192">
        <v>0</v>
      </c>
      <c r="G117" s="192">
        <v>0</v>
      </c>
      <c r="H117" s="192">
        <v>0</v>
      </c>
      <c r="I117" s="192">
        <v>0</v>
      </c>
      <c r="J117" s="192">
        <v>0</v>
      </c>
      <c r="K117" s="192">
        <v>183274</v>
      </c>
      <c r="L117" s="192">
        <v>0</v>
      </c>
      <c r="M117" s="192">
        <v>0</v>
      </c>
      <c r="N117" s="192">
        <v>0</v>
      </c>
      <c r="O117" s="192">
        <v>0</v>
      </c>
      <c r="P117" s="192">
        <v>175750.1</v>
      </c>
      <c r="Q117" s="192">
        <v>0</v>
      </c>
      <c r="R117" s="192">
        <v>0</v>
      </c>
      <c r="S117" s="192">
        <v>0</v>
      </c>
      <c r="T117" s="192">
        <v>0</v>
      </c>
      <c r="U117" s="201" t="s">
        <v>565</v>
      </c>
      <c r="V117" s="180"/>
      <c r="W117" s="180" t="s">
        <v>31</v>
      </c>
      <c r="X117" s="180">
        <v>212</v>
      </c>
      <c r="Y117" s="180">
        <v>208</v>
      </c>
      <c r="Z117" s="182" t="s">
        <v>373</v>
      </c>
      <c r="AA117" s="221" t="s">
        <v>583</v>
      </c>
      <c r="AB117" s="181">
        <f>P117-K117</f>
        <v>-7523.8999999999942</v>
      </c>
      <c r="AC117" s="103">
        <f t="shared" si="5"/>
        <v>-7523.8999999999942</v>
      </c>
      <c r="AD117" s="19"/>
      <c r="AE117" s="2"/>
      <c r="AJ117" s="112">
        <f>P117-K117</f>
        <v>-7523.8999999999942</v>
      </c>
      <c r="AN117" s="94" t="s">
        <v>296</v>
      </c>
    </row>
    <row r="118" spans="1:40" ht="409.6" customHeight="1" x14ac:dyDescent="0.65">
      <c r="A118" s="198" t="s">
        <v>131</v>
      </c>
      <c r="B118" s="179" t="s">
        <v>352</v>
      </c>
      <c r="C118" s="196" t="s">
        <v>27</v>
      </c>
      <c r="D118" s="192">
        <v>905.2</v>
      </c>
      <c r="E118" s="192">
        <v>0</v>
      </c>
      <c r="F118" s="192">
        <v>0</v>
      </c>
      <c r="G118" s="192">
        <v>0</v>
      </c>
      <c r="H118" s="192">
        <v>0</v>
      </c>
      <c r="I118" s="192">
        <v>905.2</v>
      </c>
      <c r="J118" s="192">
        <v>0</v>
      </c>
      <c r="K118" s="192">
        <v>0</v>
      </c>
      <c r="L118" s="192">
        <v>0</v>
      </c>
      <c r="M118" s="192">
        <v>0</v>
      </c>
      <c r="N118" s="192">
        <v>209.3</v>
      </c>
      <c r="O118" s="192">
        <v>0</v>
      </c>
      <c r="P118" s="192">
        <v>0</v>
      </c>
      <c r="Q118" s="192">
        <v>0</v>
      </c>
      <c r="R118" s="192">
        <v>0</v>
      </c>
      <c r="S118" s="192">
        <v>0</v>
      </c>
      <c r="T118" s="192">
        <v>209.2</v>
      </c>
      <c r="U118" s="201" t="s">
        <v>566</v>
      </c>
      <c r="V118" s="180"/>
      <c r="W118" s="180" t="s">
        <v>31</v>
      </c>
      <c r="X118" s="180">
        <v>10</v>
      </c>
      <c r="Y118" s="180">
        <v>6</v>
      </c>
      <c r="Z118" s="182" t="s">
        <v>373</v>
      </c>
      <c r="AA118" s="210" t="s">
        <v>433</v>
      </c>
      <c r="AB118" s="181">
        <f>N118-I118</f>
        <v>-695.90000000000009</v>
      </c>
      <c r="AC118" s="103">
        <f>N118-I118</f>
        <v>-695.90000000000009</v>
      </c>
      <c r="AD118" s="19"/>
      <c r="AE118" s="2"/>
      <c r="AJ118" s="112">
        <f>N118-I118</f>
        <v>-695.90000000000009</v>
      </c>
      <c r="AN118" s="94" t="s">
        <v>291</v>
      </c>
    </row>
    <row r="119" spans="1:40" ht="408.75" customHeight="1" x14ac:dyDescent="0.65">
      <c r="A119" s="233" t="s">
        <v>58</v>
      </c>
      <c r="B119" s="237" t="s">
        <v>132</v>
      </c>
      <c r="C119" s="236" t="s">
        <v>27</v>
      </c>
      <c r="D119" s="234">
        <v>0</v>
      </c>
      <c r="E119" s="234">
        <v>13033.4</v>
      </c>
      <c r="F119" s="234">
        <v>0</v>
      </c>
      <c r="G119" s="234">
        <v>0</v>
      </c>
      <c r="H119" s="234">
        <v>0</v>
      </c>
      <c r="I119" s="234">
        <v>0</v>
      </c>
      <c r="J119" s="234">
        <v>0</v>
      </c>
      <c r="K119" s="234">
        <v>13033.4</v>
      </c>
      <c r="L119" s="234">
        <v>0</v>
      </c>
      <c r="M119" s="234">
        <v>0</v>
      </c>
      <c r="N119" s="234">
        <v>0</v>
      </c>
      <c r="O119" s="234">
        <v>0</v>
      </c>
      <c r="P119" s="234">
        <v>4880.7</v>
      </c>
      <c r="Q119" s="234">
        <v>0</v>
      </c>
      <c r="R119" s="234">
        <v>0</v>
      </c>
      <c r="S119" s="234">
        <v>0</v>
      </c>
      <c r="T119" s="234">
        <v>0</v>
      </c>
      <c r="U119" s="237" t="s">
        <v>567</v>
      </c>
      <c r="V119" s="238"/>
      <c r="W119" s="239" t="s">
        <v>31</v>
      </c>
      <c r="X119" s="239">
        <v>807</v>
      </c>
      <c r="Y119" s="239">
        <v>714</v>
      </c>
      <c r="Z119" s="238" t="s">
        <v>373</v>
      </c>
      <c r="AA119" s="265" t="s">
        <v>427</v>
      </c>
      <c r="AB119" s="181">
        <f>P119-K119</f>
        <v>-8152.7</v>
      </c>
      <c r="AC119" s="103">
        <f t="shared" si="5"/>
        <v>-8152.7</v>
      </c>
      <c r="AD119" s="19"/>
      <c r="AE119" s="2"/>
      <c r="AJ119" s="112">
        <f>P119-K119</f>
        <v>-8152.7</v>
      </c>
      <c r="AN119" s="94" t="s">
        <v>297</v>
      </c>
    </row>
    <row r="120" spans="1:40" ht="333" customHeight="1" x14ac:dyDescent="0.65">
      <c r="A120" s="233"/>
      <c r="B120" s="237"/>
      <c r="C120" s="236"/>
      <c r="D120" s="234"/>
      <c r="E120" s="234"/>
      <c r="F120" s="234"/>
      <c r="G120" s="234"/>
      <c r="H120" s="234"/>
      <c r="I120" s="234"/>
      <c r="J120" s="234"/>
      <c r="K120" s="234"/>
      <c r="L120" s="234"/>
      <c r="M120" s="234"/>
      <c r="N120" s="234"/>
      <c r="O120" s="234"/>
      <c r="P120" s="234"/>
      <c r="Q120" s="234"/>
      <c r="R120" s="234"/>
      <c r="S120" s="234"/>
      <c r="T120" s="234"/>
      <c r="U120" s="237"/>
      <c r="V120" s="238"/>
      <c r="W120" s="239"/>
      <c r="X120" s="239"/>
      <c r="Y120" s="239"/>
      <c r="Z120" s="238"/>
      <c r="AA120" s="266"/>
      <c r="AB120" s="179"/>
      <c r="AC120" s="103"/>
      <c r="AD120" s="19"/>
      <c r="AE120" s="2"/>
      <c r="AJ120" s="110"/>
    </row>
    <row r="121" spans="1:40" ht="126" customHeight="1" x14ac:dyDescent="0.65">
      <c r="A121" s="256" t="s">
        <v>466</v>
      </c>
      <c r="B121" s="256"/>
      <c r="C121" s="256"/>
      <c r="D121" s="256"/>
      <c r="E121" s="256"/>
      <c r="F121" s="256"/>
      <c r="G121" s="256"/>
      <c r="H121" s="256"/>
      <c r="I121" s="256"/>
      <c r="J121" s="256"/>
      <c r="K121" s="256"/>
      <c r="L121" s="256"/>
      <c r="M121" s="256"/>
      <c r="N121" s="256"/>
      <c r="O121" s="256"/>
      <c r="P121" s="256"/>
      <c r="Q121" s="256"/>
      <c r="R121" s="256"/>
      <c r="S121" s="256"/>
      <c r="T121" s="256"/>
      <c r="U121" s="256"/>
      <c r="V121" s="256"/>
      <c r="W121" s="256"/>
      <c r="X121" s="256"/>
      <c r="Y121" s="256"/>
      <c r="Z121" s="256"/>
      <c r="AA121" s="256"/>
      <c r="AB121" s="28"/>
      <c r="AC121" s="1"/>
      <c r="AD121" s="2"/>
      <c r="AE121" s="2"/>
    </row>
    <row r="122" spans="1:40" ht="105" customHeight="1" x14ac:dyDescent="0.65">
      <c r="A122" s="259"/>
      <c r="B122" s="259"/>
      <c r="C122" s="259"/>
      <c r="D122" s="259"/>
      <c r="E122" s="259"/>
      <c r="F122" s="259"/>
      <c r="G122" s="259"/>
      <c r="H122" s="259"/>
      <c r="I122" s="259"/>
      <c r="J122" s="259"/>
      <c r="K122" s="259"/>
      <c r="L122" s="259"/>
      <c r="M122" s="259"/>
      <c r="N122" s="259"/>
      <c r="O122" s="259"/>
      <c r="P122" s="259"/>
      <c r="Q122" s="259"/>
      <c r="R122" s="259"/>
      <c r="S122" s="259"/>
      <c r="T122" s="259"/>
      <c r="U122" s="259"/>
      <c r="V122" s="259"/>
      <c r="W122" s="259"/>
      <c r="X122" s="259"/>
      <c r="Y122" s="259"/>
      <c r="Z122" s="259"/>
      <c r="AA122" s="259"/>
      <c r="AB122" s="28"/>
      <c r="AC122" s="1"/>
      <c r="AD122" s="2"/>
      <c r="AE122" s="2"/>
    </row>
    <row r="123" spans="1:40" ht="144" customHeight="1" x14ac:dyDescent="0.65">
      <c r="A123" s="29"/>
      <c r="B123" s="30"/>
      <c r="C123" s="30"/>
      <c r="D123" s="87"/>
      <c r="E123" s="87"/>
      <c r="F123" s="87"/>
      <c r="G123" s="87"/>
      <c r="H123" s="87"/>
      <c r="I123" s="87"/>
      <c r="J123" s="87"/>
      <c r="K123" s="87"/>
      <c r="L123" s="87"/>
      <c r="M123" s="87"/>
      <c r="N123" s="87"/>
      <c r="O123" s="87"/>
      <c r="P123" s="87"/>
      <c r="Q123" s="87"/>
      <c r="R123" s="87"/>
      <c r="S123" s="87"/>
      <c r="T123" s="87"/>
      <c r="U123" s="30"/>
      <c r="V123" s="29"/>
      <c r="W123" s="29"/>
      <c r="X123" s="29"/>
      <c r="Y123" s="27"/>
      <c r="Z123" s="27"/>
      <c r="AA123" s="28"/>
      <c r="AB123" s="28"/>
      <c r="AC123" s="1"/>
      <c r="AD123" s="2"/>
      <c r="AE123" s="2"/>
    </row>
    <row r="124" spans="1:40" ht="61.5" x14ac:dyDescent="0.85">
      <c r="H124" s="93"/>
      <c r="I124" s="89"/>
      <c r="J124" s="89"/>
      <c r="K124" s="89"/>
      <c r="L124" s="89"/>
      <c r="M124" s="89"/>
      <c r="N124" s="89"/>
      <c r="O124" s="89"/>
      <c r="P124" s="89"/>
      <c r="Q124" s="89"/>
      <c r="R124" s="89"/>
      <c r="S124" s="89"/>
      <c r="T124" s="89"/>
      <c r="U124" s="31"/>
      <c r="V124" s="27"/>
      <c r="W124" s="27"/>
      <c r="X124" s="32"/>
      <c r="AB124" s="121"/>
      <c r="AC124" s="1"/>
      <c r="AD124" s="2"/>
      <c r="AE124" s="2"/>
    </row>
    <row r="125" spans="1:40" ht="94.5" customHeight="1" x14ac:dyDescent="0.65">
      <c r="H125" s="89"/>
      <c r="I125" s="89"/>
      <c r="J125" s="89"/>
      <c r="K125" s="89"/>
      <c r="L125" s="89"/>
      <c r="M125" s="89"/>
      <c r="N125" s="89"/>
      <c r="O125" s="89"/>
      <c r="P125" s="89"/>
      <c r="Q125" s="89"/>
      <c r="R125" s="89"/>
      <c r="S125" s="89"/>
      <c r="T125" s="89"/>
      <c r="U125" s="31"/>
      <c r="V125" s="27"/>
      <c r="W125" s="27"/>
      <c r="X125" s="32"/>
      <c r="Y125" s="32"/>
      <c r="Z125" s="27"/>
      <c r="AA125" s="33"/>
      <c r="AB125" s="33"/>
      <c r="AC125" s="1"/>
      <c r="AD125" s="2"/>
      <c r="AE125" s="2"/>
    </row>
    <row r="129" spans="1:29" ht="184.5" customHeight="1" x14ac:dyDescent="0.8">
      <c r="A129" s="282"/>
      <c r="B129" s="282"/>
    </row>
    <row r="133" spans="1:29" ht="46.5" x14ac:dyDescent="0.7">
      <c r="D133" s="155"/>
      <c r="E133" s="155"/>
      <c r="F133" s="155"/>
      <c r="G133" s="155"/>
      <c r="H133" s="155"/>
      <c r="I133" s="155"/>
      <c r="J133" s="155"/>
      <c r="K133" s="155"/>
    </row>
    <row r="134" spans="1:29" ht="91.5" customHeight="1" x14ac:dyDescent="1.25">
      <c r="A134" s="232" t="s">
        <v>592</v>
      </c>
      <c r="B134" s="232"/>
      <c r="C134" s="232"/>
      <c r="D134" s="232"/>
      <c r="E134" s="232"/>
      <c r="F134" s="232"/>
      <c r="G134" s="232"/>
      <c r="Z134" s="231" t="s">
        <v>599</v>
      </c>
      <c r="AA134" s="231"/>
      <c r="AB134" s="231"/>
      <c r="AC134" s="231"/>
    </row>
    <row r="135" spans="1:29" ht="42" customHeight="1" x14ac:dyDescent="0.65">
      <c r="A135" s="232"/>
      <c r="B135" s="232"/>
      <c r="C135" s="232"/>
      <c r="D135" s="232"/>
      <c r="E135" s="232"/>
      <c r="F135" s="232"/>
      <c r="G135" s="232"/>
    </row>
    <row r="136" spans="1:29" x14ac:dyDescent="0.65">
      <c r="A136" s="232"/>
      <c r="B136" s="232"/>
      <c r="C136" s="232"/>
      <c r="D136" s="232"/>
      <c r="E136" s="232"/>
      <c r="F136" s="232"/>
      <c r="G136" s="232"/>
    </row>
    <row r="161" spans="1:2" ht="42" customHeight="1" x14ac:dyDescent="0.65">
      <c r="A161" s="283"/>
      <c r="B161" s="283"/>
    </row>
    <row r="162" spans="1:2" x14ac:dyDescent="0.65">
      <c r="A162" s="283"/>
      <c r="B162" s="283"/>
    </row>
    <row r="174" spans="1:2" ht="57" customHeight="1" x14ac:dyDescent="0.65">
      <c r="A174" s="282"/>
      <c r="B174" s="282"/>
    </row>
    <row r="175" spans="1:2" x14ac:dyDescent="0.65">
      <c r="A175" s="282"/>
      <c r="B175" s="282"/>
    </row>
    <row r="176" spans="1:2" ht="45.75" customHeight="1" x14ac:dyDescent="0.65"/>
    <row r="177" spans="1:3" ht="409.5" customHeight="1" x14ac:dyDescent="0.85">
      <c r="B177" s="154"/>
    </row>
    <row r="179" spans="1:3" ht="45.75" x14ac:dyDescent="0.65">
      <c r="C179" s="152"/>
    </row>
    <row r="180" spans="1:3" ht="45.75" x14ac:dyDescent="0.65">
      <c r="B180" s="152"/>
      <c r="C180" s="152"/>
    </row>
    <row r="182" spans="1:3" ht="42" customHeight="1" x14ac:dyDescent="0.65">
      <c r="A182" s="282" t="s">
        <v>523</v>
      </c>
      <c r="B182" s="282"/>
    </row>
    <row r="183" spans="1:3" ht="42" customHeight="1" x14ac:dyDescent="0.65">
      <c r="A183" s="282"/>
      <c r="B183" s="282"/>
    </row>
    <row r="184" spans="1:3" ht="42" customHeight="1" x14ac:dyDescent="0.65">
      <c r="A184" s="282"/>
      <c r="B184" s="282"/>
    </row>
    <row r="185" spans="1:3" x14ac:dyDescent="0.65">
      <c r="A185" s="282"/>
      <c r="B185" s="282"/>
    </row>
    <row r="186" spans="1:3" x14ac:dyDescent="0.65">
      <c r="A186" s="282"/>
      <c r="B186" s="282"/>
    </row>
    <row r="187" spans="1:3" x14ac:dyDescent="0.65">
      <c r="A187" s="282"/>
      <c r="B187" s="282"/>
    </row>
  </sheetData>
  <customSheetViews>
    <customSheetView guid="{DAA129B7-49F7-47F4-BBAF-F3BC13A03360}" scale="30" showPageBreaks="1" fitToPage="1" printArea="1" hiddenRows="1" hiddenColumns="1" view="pageBreakPreview" topLeftCell="A72">
      <pane xSplit="1" topLeftCell="B1" activePane="topRight" state="frozen"/>
      <selection pane="topRight" activeCell="T75" sqref="T75"/>
      <colBreaks count="1" manualBreakCount="1">
        <brk id="28" max="1048575" man="1"/>
      </colBreaks>
      <pageMargins left="0.70866141732283472" right="0.70866141732283472" top="0.74803149606299213" bottom="0.74803149606299213" header="0.31496062992125984" footer="0.31496062992125984"/>
      <pageSetup paperSize="9" scale="10" orientation="landscape" r:id="rId1"/>
    </customSheetView>
    <customSheetView guid="{9C37FF47-DD3C-484B-9633-D678A759C142}" scale="25" showPageBreaks="1" fitToPage="1" printArea="1" hiddenRows="1" hiddenColumns="1" view="pageBreakPreview" topLeftCell="A120">
      <pane xSplit="1" topLeftCell="B1" activePane="topRight" state="frozen"/>
      <selection pane="topRight" activeCell="A122" sqref="A122:X122"/>
      <colBreaks count="1" manualBreakCount="1">
        <brk id="28" max="1048575" man="1"/>
      </colBreaks>
      <pageMargins left="0.70866141732283472" right="0.70866141732283472" top="0.74803149606299213" bottom="0.74803149606299213" header="0.31496062992125984" footer="0.31496062992125984"/>
      <pageSetup paperSize="9" scale="10" orientation="landscape" r:id="rId2"/>
    </customSheetView>
  </customSheetViews>
  <mergeCells count="551">
    <mergeCell ref="X84:X85"/>
    <mergeCell ref="W84:W85"/>
    <mergeCell ref="V84:V85"/>
    <mergeCell ref="Y89:Y90"/>
    <mergeCell ref="AA115:AA116"/>
    <mergeCell ref="X49:X52"/>
    <mergeCell ref="A129:B129"/>
    <mergeCell ref="A174:B175"/>
    <mergeCell ref="A185:B187"/>
    <mergeCell ref="A182:B184"/>
    <mergeCell ref="A161:B162"/>
    <mergeCell ref="S119:S120"/>
    <mergeCell ref="R119:R120"/>
    <mergeCell ref="F119:F120"/>
    <mergeCell ref="E119:E120"/>
    <mergeCell ref="D119:D120"/>
    <mergeCell ref="C119:C120"/>
    <mergeCell ref="B119:B120"/>
    <mergeCell ref="A119:A120"/>
    <mergeCell ref="H119:H120"/>
    <mergeCell ref="G119:G120"/>
    <mergeCell ref="Q119:Q120"/>
    <mergeCell ref="P119:P120"/>
    <mergeCell ref="O119:O120"/>
    <mergeCell ref="T31:T32"/>
    <mergeCell ref="AA119:AA120"/>
    <mergeCell ref="AA111:AA112"/>
    <mergeCell ref="AA109:AA110"/>
    <mergeCell ref="AA107:AA108"/>
    <mergeCell ref="AA105:AA106"/>
    <mergeCell ref="AA89:AA90"/>
    <mergeCell ref="AA113:AA114"/>
    <mergeCell ref="X33:X35"/>
    <mergeCell ref="AA31:AA32"/>
    <mergeCell ref="Z31:Z32"/>
    <mergeCell ref="X44:X45"/>
    <mergeCell ref="Z111:Z112"/>
    <mergeCell ref="Y111:Y112"/>
    <mergeCell ref="X113:X114"/>
    <mergeCell ref="Z113:Z114"/>
    <mergeCell ref="Y113:Y114"/>
    <mergeCell ref="Z119:Z120"/>
    <mergeCell ref="Y119:Y120"/>
    <mergeCell ref="X119:X120"/>
    <mergeCell ref="W119:W120"/>
    <mergeCell ref="V119:V120"/>
    <mergeCell ref="U119:U120"/>
    <mergeCell ref="T119:T120"/>
    <mergeCell ref="Z23:Z24"/>
    <mergeCell ref="Z82:Z83"/>
    <mergeCell ref="Y82:Y83"/>
    <mergeCell ref="X82:X83"/>
    <mergeCell ref="Y31:Y32"/>
    <mergeCell ref="X31:X32"/>
    <mergeCell ref="AA23:AA24"/>
    <mergeCell ref="Y23:Y24"/>
    <mergeCell ref="X23:X24"/>
    <mergeCell ref="Y47:Y48"/>
    <mergeCell ref="X47:X48"/>
    <mergeCell ref="AA37:AA38"/>
    <mergeCell ref="AA42:AA43"/>
    <mergeCell ref="Z37:Z38"/>
    <mergeCell ref="AA82:AA83"/>
    <mergeCell ref="Z49:Z52"/>
    <mergeCell ref="Z33:Z35"/>
    <mergeCell ref="AA47:AA48"/>
    <mergeCell ref="Z47:Z48"/>
    <mergeCell ref="Y44:Y45"/>
    <mergeCell ref="J23:J24"/>
    <mergeCell ref="I23:I24"/>
    <mergeCell ref="H23:H24"/>
    <mergeCell ref="G23:G24"/>
    <mergeCell ref="F23:F24"/>
    <mergeCell ref="E23:E24"/>
    <mergeCell ref="D23:D24"/>
    <mergeCell ref="B23:B24"/>
    <mergeCell ref="O23:O24"/>
    <mergeCell ref="N23:N24"/>
    <mergeCell ref="M23:M24"/>
    <mergeCell ref="W23:W24"/>
    <mergeCell ref="V23:V24"/>
    <mergeCell ref="U23:U24"/>
    <mergeCell ref="Q23:Q24"/>
    <mergeCell ref="L23:L24"/>
    <mergeCell ref="K23:K24"/>
    <mergeCell ref="S23:S24"/>
    <mergeCell ref="AJ105:AJ106"/>
    <mergeCell ref="AJ107:AJ108"/>
    <mergeCell ref="W31:W32"/>
    <mergeCell ref="V44:V45"/>
    <mergeCell ref="U44:U45"/>
    <mergeCell ref="V31:V32"/>
    <mergeCell ref="U31:U32"/>
    <mergeCell ref="V33:V35"/>
    <mergeCell ref="U47:U48"/>
    <mergeCell ref="U42:U43"/>
    <mergeCell ref="T47:T48"/>
    <mergeCell ref="S47:S48"/>
    <mergeCell ref="S53:S54"/>
    <mergeCell ref="R53:R54"/>
    <mergeCell ref="S44:S45"/>
    <mergeCell ref="R44:R45"/>
    <mergeCell ref="Q44:Q45"/>
    <mergeCell ref="AJ109:AJ110"/>
    <mergeCell ref="Z44:Z45"/>
    <mergeCell ref="AA44:AA45"/>
    <mergeCell ref="AJ34:AJ35"/>
    <mergeCell ref="AJ38:AJ39"/>
    <mergeCell ref="AA33:AA35"/>
    <mergeCell ref="G53:G54"/>
    <mergeCell ref="G82:G83"/>
    <mergeCell ref="M53:M54"/>
    <mergeCell ref="L53:L54"/>
    <mergeCell ref="O53:O54"/>
    <mergeCell ref="N53:N54"/>
    <mergeCell ref="L109:L110"/>
    <mergeCell ref="N47:N48"/>
    <mergeCell ref="M47:M48"/>
    <mergeCell ref="AA84:AA85"/>
    <mergeCell ref="Z84:Z85"/>
    <mergeCell ref="Y84:Y85"/>
    <mergeCell ref="W82:W83"/>
    <mergeCell ref="Z42:Z43"/>
    <mergeCell ref="Y37:Y38"/>
    <mergeCell ref="X37:X38"/>
    <mergeCell ref="R47:R48"/>
    <mergeCell ref="N109:N110"/>
    <mergeCell ref="AJ111:AJ112"/>
    <mergeCell ref="U89:U90"/>
    <mergeCell ref="AJ85:AJ86"/>
    <mergeCell ref="AJ89:AJ90"/>
    <mergeCell ref="X89:X90"/>
    <mergeCell ref="W89:W90"/>
    <mergeCell ref="V89:V90"/>
    <mergeCell ref="Z105:Z106"/>
    <mergeCell ref="AJ47:AJ48"/>
    <mergeCell ref="AJ49:AJ50"/>
    <mergeCell ref="AJ51:AJ52"/>
    <mergeCell ref="AJ53:AJ54"/>
    <mergeCell ref="AJ61:AJ62"/>
    <mergeCell ref="Z89:Z90"/>
    <mergeCell ref="Z53:Z54"/>
    <mergeCell ref="AA49:AA52"/>
    <mergeCell ref="AA53:AA54"/>
    <mergeCell ref="U84:U85"/>
    <mergeCell ref="V47:V48"/>
    <mergeCell ref="W53:W54"/>
    <mergeCell ref="W47:W48"/>
    <mergeCell ref="Y49:Y52"/>
    <mergeCell ref="Y53:Y54"/>
    <mergeCell ref="X53:X54"/>
    <mergeCell ref="C115:C116"/>
    <mergeCell ref="H115:H116"/>
    <mergeCell ref="G115:G116"/>
    <mergeCell ref="L115:L116"/>
    <mergeCell ref="B115:B116"/>
    <mergeCell ref="A115:A116"/>
    <mergeCell ref="N115:N116"/>
    <mergeCell ref="M115:M116"/>
    <mergeCell ref="A122:AA122"/>
    <mergeCell ref="T115:T116"/>
    <mergeCell ref="P115:P116"/>
    <mergeCell ref="O115:O116"/>
    <mergeCell ref="U115:U116"/>
    <mergeCell ref="Z115:Z116"/>
    <mergeCell ref="N119:N120"/>
    <mergeCell ref="M119:M120"/>
    <mergeCell ref="L119:L120"/>
    <mergeCell ref="K119:K120"/>
    <mergeCell ref="J119:J120"/>
    <mergeCell ref="I119:I120"/>
    <mergeCell ref="F115:F116"/>
    <mergeCell ref="E115:E116"/>
    <mergeCell ref="D115:D116"/>
    <mergeCell ref="J115:J116"/>
    <mergeCell ref="I115:I116"/>
    <mergeCell ref="G84:G85"/>
    <mergeCell ref="H84:H85"/>
    <mergeCell ref="K53:K54"/>
    <mergeCell ref="I82:I83"/>
    <mergeCell ref="H82:H83"/>
    <mergeCell ref="J82:J83"/>
    <mergeCell ref="F111:F112"/>
    <mergeCell ref="I109:I110"/>
    <mergeCell ref="F53:F54"/>
    <mergeCell ref="O113:O114"/>
    <mergeCell ref="N113:N114"/>
    <mergeCell ref="M113:M114"/>
    <mergeCell ref="B105:B106"/>
    <mergeCell ref="B113:B114"/>
    <mergeCell ref="I53:I54"/>
    <mergeCell ref="H53:H54"/>
    <mergeCell ref="K89:K90"/>
    <mergeCell ref="J89:J90"/>
    <mergeCell ref="G89:G90"/>
    <mergeCell ref="F89:F90"/>
    <mergeCell ref="I84:I85"/>
    <mergeCell ref="I105:I106"/>
    <mergeCell ref="O82:O83"/>
    <mergeCell ref="N82:N83"/>
    <mergeCell ref="M82:M83"/>
    <mergeCell ref="D53:D54"/>
    <mergeCell ref="C53:C54"/>
    <mergeCell ref="M89:M90"/>
    <mergeCell ref="J53:J54"/>
    <mergeCell ref="M49:M52"/>
    <mergeCell ref="Q115:Q116"/>
    <mergeCell ref="F49:F52"/>
    <mergeCell ref="E105:E106"/>
    <mergeCell ref="F105:F106"/>
    <mergeCell ref="O84:O85"/>
    <mergeCell ref="M84:M85"/>
    <mergeCell ref="N84:N85"/>
    <mergeCell ref="K109:K110"/>
    <mergeCell ref="J109:J110"/>
    <mergeCell ref="Q107:Q108"/>
    <mergeCell ref="M107:M108"/>
    <mergeCell ref="H107:H108"/>
    <mergeCell ref="G107:G108"/>
    <mergeCell ref="F107:F108"/>
    <mergeCell ref="Q111:Q112"/>
    <mergeCell ref="C113:C114"/>
    <mergeCell ref="P82:P83"/>
    <mergeCell ref="T82:T83"/>
    <mergeCell ref="S82:S83"/>
    <mergeCell ref="R82:R83"/>
    <mergeCell ref="Q82:Q83"/>
    <mergeCell ref="S113:S114"/>
    <mergeCell ref="W113:W114"/>
    <mergeCell ref="V113:V114"/>
    <mergeCell ref="U113:U114"/>
    <mergeCell ref="T113:T114"/>
    <mergeCell ref="W111:W112"/>
    <mergeCell ref="R113:R114"/>
    <mergeCell ref="R111:R112"/>
    <mergeCell ref="W105:W106"/>
    <mergeCell ref="R105:R106"/>
    <mergeCell ref="Q105:Q106"/>
    <mergeCell ref="P105:P106"/>
    <mergeCell ref="R89:R90"/>
    <mergeCell ref="Q113:Q114"/>
    <mergeCell ref="P113:P114"/>
    <mergeCell ref="P111:P112"/>
    <mergeCell ref="V53:V54"/>
    <mergeCell ref="U53:U54"/>
    <mergeCell ref="V49:V52"/>
    <mergeCell ref="U49:U52"/>
    <mergeCell ref="T53:T54"/>
    <mergeCell ref="T109:T110"/>
    <mergeCell ref="S109:S110"/>
    <mergeCell ref="T111:T112"/>
    <mergeCell ref="S111:S112"/>
    <mergeCell ref="V111:V112"/>
    <mergeCell ref="U111:U112"/>
    <mergeCell ref="V105:V106"/>
    <mergeCell ref="U105:U106"/>
    <mergeCell ref="T105:T106"/>
    <mergeCell ref="S105:S106"/>
    <mergeCell ref="T89:T90"/>
    <mergeCell ref="S89:S90"/>
    <mergeCell ref="T49:T52"/>
    <mergeCell ref="S49:S52"/>
    <mergeCell ref="A31:A32"/>
    <mergeCell ref="J31:J32"/>
    <mergeCell ref="I31:I32"/>
    <mergeCell ref="H31:H32"/>
    <mergeCell ref="G31:G32"/>
    <mergeCell ref="F31:F32"/>
    <mergeCell ref="O31:O32"/>
    <mergeCell ref="N31:N32"/>
    <mergeCell ref="M31:M32"/>
    <mergeCell ref="L31:L32"/>
    <mergeCell ref="K31:K32"/>
    <mergeCell ref="E31:E32"/>
    <mergeCell ref="D31:D32"/>
    <mergeCell ref="C31:C32"/>
    <mergeCell ref="A42:A43"/>
    <mergeCell ref="A44:A45"/>
    <mergeCell ref="S115:S116"/>
    <mergeCell ref="R115:R116"/>
    <mergeCell ref="C44:C45"/>
    <mergeCell ref="B44:B45"/>
    <mergeCell ref="F47:F48"/>
    <mergeCell ref="F42:F43"/>
    <mergeCell ref="I42:I43"/>
    <mergeCell ref="J42:J43"/>
    <mergeCell ref="O49:O52"/>
    <mergeCell ref="F82:F83"/>
    <mergeCell ref="B82:B83"/>
    <mergeCell ref="B84:B85"/>
    <mergeCell ref="C84:C85"/>
    <mergeCell ref="D84:D85"/>
    <mergeCell ref="E84:E85"/>
    <mergeCell ref="D82:D83"/>
    <mergeCell ref="C82:C83"/>
    <mergeCell ref="E82:E83"/>
    <mergeCell ref="A53:A54"/>
    <mergeCell ref="A84:A85"/>
    <mergeCell ref="B53:B54"/>
    <mergeCell ref="E53:E54"/>
    <mergeCell ref="R37:R38"/>
    <mergeCell ref="S37:S38"/>
    <mergeCell ref="W44:W45"/>
    <mergeCell ref="Y42:Y43"/>
    <mergeCell ref="X42:X43"/>
    <mergeCell ref="Y33:Y35"/>
    <mergeCell ref="J47:J48"/>
    <mergeCell ref="I47:I48"/>
    <mergeCell ref="H47:H48"/>
    <mergeCell ref="N44:N45"/>
    <mergeCell ref="M44:M45"/>
    <mergeCell ref="L44:L45"/>
    <mergeCell ref="K47:K48"/>
    <mergeCell ref="D44:D45"/>
    <mergeCell ref="P44:P45"/>
    <mergeCell ref="G44:G45"/>
    <mergeCell ref="F44:F45"/>
    <mergeCell ref="E44:E45"/>
    <mergeCell ref="H44:H45"/>
    <mergeCell ref="B42:B43"/>
    <mergeCell ref="C42:C43"/>
    <mergeCell ref="D42:D43"/>
    <mergeCell ref="A49:A52"/>
    <mergeCell ref="E47:E48"/>
    <mergeCell ref="D49:D52"/>
    <mergeCell ref="C49:C52"/>
    <mergeCell ref="A47:A48"/>
    <mergeCell ref="B49:B52"/>
    <mergeCell ref="D47:D48"/>
    <mergeCell ref="C47:C48"/>
    <mergeCell ref="B47:B48"/>
    <mergeCell ref="E49:E52"/>
    <mergeCell ref="F33:F35"/>
    <mergeCell ref="E33:E35"/>
    <mergeCell ref="Q42:Q43"/>
    <mergeCell ref="E42:E43"/>
    <mergeCell ref="D37:D38"/>
    <mergeCell ref="N33:N35"/>
    <mergeCell ref="M33:M35"/>
    <mergeCell ref="L33:L35"/>
    <mergeCell ref="K33:K35"/>
    <mergeCell ref="J33:J35"/>
    <mergeCell ref="I33:I35"/>
    <mergeCell ref="K42:K43"/>
    <mergeCell ref="L42:L43"/>
    <mergeCell ref="P42:P43"/>
    <mergeCell ref="G42:G43"/>
    <mergeCell ref="H42:H43"/>
    <mergeCell ref="Q37:Q38"/>
    <mergeCell ref="P37:P38"/>
    <mergeCell ref="O42:O43"/>
    <mergeCell ref="M42:M43"/>
    <mergeCell ref="E37:E38"/>
    <mergeCell ref="A121:AA121"/>
    <mergeCell ref="L84:L85"/>
    <mergeCell ref="J84:J85"/>
    <mergeCell ref="K84:K85"/>
    <mergeCell ref="Q89:Q90"/>
    <mergeCell ref="P89:P90"/>
    <mergeCell ref="O89:O90"/>
    <mergeCell ref="N89:N90"/>
    <mergeCell ref="Y115:Y116"/>
    <mergeCell ref="X115:X116"/>
    <mergeCell ref="W115:W116"/>
    <mergeCell ref="V115:V116"/>
    <mergeCell ref="Y105:Y106"/>
    <mergeCell ref="X105:X106"/>
    <mergeCell ref="X111:X112"/>
    <mergeCell ref="E89:E90"/>
    <mergeCell ref="D89:D90"/>
    <mergeCell ref="B107:B108"/>
    <mergeCell ref="K105:K106"/>
    <mergeCell ref="J105:J106"/>
    <mergeCell ref="N111:N112"/>
    <mergeCell ref="M111:M112"/>
    <mergeCell ref="M109:M110"/>
    <mergeCell ref="O111:O112"/>
    <mergeCell ref="G47:G48"/>
    <mergeCell ref="L47:L48"/>
    <mergeCell ref="J49:J52"/>
    <mergeCell ref="I49:I52"/>
    <mergeCell ref="H49:H52"/>
    <mergeCell ref="G49:G52"/>
    <mergeCell ref="U7:U9"/>
    <mergeCell ref="V7:Y8"/>
    <mergeCell ref="O105:O106"/>
    <mergeCell ref="N105:N106"/>
    <mergeCell ref="M105:M106"/>
    <mergeCell ref="L49:L52"/>
    <mergeCell ref="N49:N52"/>
    <mergeCell ref="K44:K45"/>
    <mergeCell ref="J44:J45"/>
    <mergeCell ref="I44:I45"/>
    <mergeCell ref="K49:K52"/>
    <mergeCell ref="O44:O45"/>
    <mergeCell ref="T44:T45"/>
    <mergeCell ref="T42:T43"/>
    <mergeCell ref="W42:W43"/>
    <mergeCell ref="V37:V38"/>
    <mergeCell ref="U37:U38"/>
    <mergeCell ref="V42:V43"/>
    <mergeCell ref="Z7:Z9"/>
    <mergeCell ref="AA7:AA9"/>
    <mergeCell ref="U33:U35"/>
    <mergeCell ref="N42:N43"/>
    <mergeCell ref="Q84:Q85"/>
    <mergeCell ref="V82:V83"/>
    <mergeCell ref="U82:U83"/>
    <mergeCell ref="P84:P85"/>
    <mergeCell ref="Q49:Q52"/>
    <mergeCell ref="P47:P48"/>
    <mergeCell ref="P53:P54"/>
    <mergeCell ref="O47:O48"/>
    <mergeCell ref="Q53:Q54"/>
    <mergeCell ref="R42:R43"/>
    <mergeCell ref="S42:S43"/>
    <mergeCell ref="Q47:Q48"/>
    <mergeCell ref="P49:P52"/>
    <mergeCell ref="W49:W52"/>
    <mergeCell ref="T84:T85"/>
    <mergeCell ref="R84:R85"/>
    <mergeCell ref="S84:S85"/>
    <mergeCell ref="W33:W35"/>
    <mergeCell ref="R49:R52"/>
    <mergeCell ref="W37:W38"/>
    <mergeCell ref="A7:A9"/>
    <mergeCell ref="B7:B9"/>
    <mergeCell ref="C7:C9"/>
    <mergeCell ref="D7:H8"/>
    <mergeCell ref="I7:M7"/>
    <mergeCell ref="I8:L8"/>
    <mergeCell ref="N7:S8"/>
    <mergeCell ref="T7:T9"/>
    <mergeCell ref="B33:B35"/>
    <mergeCell ref="A33:A35"/>
    <mergeCell ref="B31:B32"/>
    <mergeCell ref="H33:H35"/>
    <mergeCell ref="G33:G35"/>
    <mergeCell ref="O33:O35"/>
    <mergeCell ref="T33:T35"/>
    <mergeCell ref="D33:D35"/>
    <mergeCell ref="S31:S32"/>
    <mergeCell ref="R31:R32"/>
    <mergeCell ref="Q31:Q32"/>
    <mergeCell ref="P31:P32"/>
    <mergeCell ref="R23:R24"/>
    <mergeCell ref="P23:P24"/>
    <mergeCell ref="C23:C24"/>
    <mergeCell ref="A23:A24"/>
    <mergeCell ref="A1:AA1"/>
    <mergeCell ref="A2:AA2"/>
    <mergeCell ref="A3:AA3"/>
    <mergeCell ref="A4:AA4"/>
    <mergeCell ref="A5:AA5"/>
    <mergeCell ref="A37:A38"/>
    <mergeCell ref="J37:J38"/>
    <mergeCell ref="I37:I38"/>
    <mergeCell ref="H37:H38"/>
    <mergeCell ref="G37:G38"/>
    <mergeCell ref="F37:F38"/>
    <mergeCell ref="O37:O38"/>
    <mergeCell ref="N37:N38"/>
    <mergeCell ref="M37:M38"/>
    <mergeCell ref="L37:L38"/>
    <mergeCell ref="K37:K38"/>
    <mergeCell ref="C33:C35"/>
    <mergeCell ref="S33:S35"/>
    <mergeCell ref="R33:R35"/>
    <mergeCell ref="Q33:Q35"/>
    <mergeCell ref="P33:P35"/>
    <mergeCell ref="C37:C38"/>
    <mergeCell ref="B37:B38"/>
    <mergeCell ref="T37:T38"/>
    <mergeCell ref="A89:A90"/>
    <mergeCell ref="B89:B90"/>
    <mergeCell ref="I89:I90"/>
    <mergeCell ref="H89:H90"/>
    <mergeCell ref="C89:C90"/>
    <mergeCell ref="E107:E108"/>
    <mergeCell ref="D107:D108"/>
    <mergeCell ref="C107:C108"/>
    <mergeCell ref="L82:L83"/>
    <mergeCell ref="K82:K83"/>
    <mergeCell ref="F84:F85"/>
    <mergeCell ref="A82:A83"/>
    <mergeCell ref="L105:L106"/>
    <mergeCell ref="H105:H106"/>
    <mergeCell ref="G105:G106"/>
    <mergeCell ref="D105:D106"/>
    <mergeCell ref="C105:C106"/>
    <mergeCell ref="L89:L90"/>
    <mergeCell ref="A105:A106"/>
    <mergeCell ref="A107:A108"/>
    <mergeCell ref="L107:L108"/>
    <mergeCell ref="K107:K108"/>
    <mergeCell ref="J107:J108"/>
    <mergeCell ref="I107:I108"/>
    <mergeCell ref="Z107:Z108"/>
    <mergeCell ref="Y107:Y108"/>
    <mergeCell ref="X107:X108"/>
    <mergeCell ref="W107:W108"/>
    <mergeCell ref="V107:V108"/>
    <mergeCell ref="U107:U108"/>
    <mergeCell ref="P107:P108"/>
    <mergeCell ref="O107:O108"/>
    <mergeCell ref="N107:N108"/>
    <mergeCell ref="T107:T108"/>
    <mergeCell ref="S107:S108"/>
    <mergeCell ref="R107:R108"/>
    <mergeCell ref="A109:A110"/>
    <mergeCell ref="Z109:Z110"/>
    <mergeCell ref="Y109:Y110"/>
    <mergeCell ref="X109:X110"/>
    <mergeCell ref="W109:W110"/>
    <mergeCell ref="V109:V110"/>
    <mergeCell ref="U109:U110"/>
    <mergeCell ref="Q109:Q110"/>
    <mergeCell ref="P109:P110"/>
    <mergeCell ref="O109:O110"/>
    <mergeCell ref="E109:E110"/>
    <mergeCell ref="D109:D110"/>
    <mergeCell ref="C109:C110"/>
    <mergeCell ref="B109:B110"/>
    <mergeCell ref="H109:H110"/>
    <mergeCell ref="G109:G110"/>
    <mergeCell ref="F109:F110"/>
    <mergeCell ref="R109:R110"/>
    <mergeCell ref="Z134:AC134"/>
    <mergeCell ref="A134:G136"/>
    <mergeCell ref="A111:A112"/>
    <mergeCell ref="L113:L114"/>
    <mergeCell ref="K113:K114"/>
    <mergeCell ref="E113:E114"/>
    <mergeCell ref="D113:D114"/>
    <mergeCell ref="A113:A114"/>
    <mergeCell ref="J113:J114"/>
    <mergeCell ref="I113:I114"/>
    <mergeCell ref="H113:H114"/>
    <mergeCell ref="G113:G114"/>
    <mergeCell ref="F113:F114"/>
    <mergeCell ref="L111:L112"/>
    <mergeCell ref="K111:K112"/>
    <mergeCell ref="J111:J112"/>
    <mergeCell ref="I111:I112"/>
    <mergeCell ref="H111:H112"/>
    <mergeCell ref="G111:G112"/>
    <mergeCell ref="E111:E112"/>
    <mergeCell ref="D111:D112"/>
    <mergeCell ref="C111:C112"/>
    <mergeCell ref="B111:B112"/>
    <mergeCell ref="K115:K116"/>
  </mergeCells>
  <pageMargins left="0.70866141732283472" right="0.70866141732283472" top="0.55118110236220474" bottom="0.55118110236220474" header="0.31496062992125984" footer="0.31496062992125984"/>
  <pageSetup paperSize="9" scale="13" fitToHeight="0" orientation="landscape" r:id="rId3"/>
  <rowBreaks count="4" manualBreakCount="4">
    <brk id="27" max="26" man="1"/>
    <brk id="38" max="26" man="1"/>
    <brk id="108" max="26" man="1"/>
    <brk id="119" max="26" man="1"/>
  </rowBreaks>
  <colBreaks count="1" manualBreakCount="1">
    <brk id="2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view="pageBreakPreview" zoomScale="70" zoomScaleNormal="100" zoomScaleSheetLayoutView="70" workbookViewId="0">
      <selection activeCell="H26" sqref="H26"/>
    </sheetView>
  </sheetViews>
  <sheetFormatPr defaultRowHeight="15" x14ac:dyDescent="0.25"/>
  <cols>
    <col min="1" max="1" width="9.140625" style="79"/>
    <col min="2" max="2" width="30.85546875" style="79" customWidth="1"/>
    <col min="3" max="3" width="9.140625" style="79"/>
    <col min="4" max="4" width="12.7109375" style="79" customWidth="1"/>
    <col min="5" max="5" width="9.140625" style="79"/>
    <col min="6" max="6" width="13.42578125" style="79" customWidth="1"/>
    <col min="7" max="7" width="22.140625" style="79" customWidth="1"/>
    <col min="8" max="16384" width="9.140625" style="79"/>
  </cols>
  <sheetData>
    <row r="1" spans="1:7" ht="18.75" x14ac:dyDescent="0.3">
      <c r="A1" s="284" t="s">
        <v>133</v>
      </c>
      <c r="B1" s="284"/>
      <c r="C1" s="284"/>
      <c r="D1" s="284"/>
      <c r="E1" s="284"/>
      <c r="F1" s="284"/>
      <c r="G1" s="284"/>
    </row>
    <row r="2" spans="1:7" ht="18.75" x14ac:dyDescent="0.3">
      <c r="A2" s="284" t="s">
        <v>134</v>
      </c>
      <c r="B2" s="284"/>
      <c r="C2" s="284"/>
      <c r="D2" s="284"/>
      <c r="E2" s="284"/>
      <c r="F2" s="284"/>
      <c r="G2" s="284"/>
    </row>
    <row r="3" spans="1:7" ht="18.75" x14ac:dyDescent="0.3">
      <c r="A3" s="284" t="s">
        <v>2</v>
      </c>
      <c r="B3" s="284"/>
      <c r="C3" s="284"/>
      <c r="D3" s="284"/>
      <c r="E3" s="284"/>
      <c r="F3" s="284"/>
      <c r="G3" s="284"/>
    </row>
    <row r="4" spans="1:7" ht="18.75" x14ac:dyDescent="0.3">
      <c r="A4" s="284" t="s">
        <v>423</v>
      </c>
      <c r="B4" s="284"/>
      <c r="C4" s="284"/>
      <c r="D4" s="284"/>
      <c r="E4" s="284"/>
      <c r="F4" s="284"/>
      <c r="G4" s="284"/>
    </row>
    <row r="5" spans="1:7" ht="15.75" x14ac:dyDescent="0.25">
      <c r="A5" s="34"/>
      <c r="B5" s="35"/>
      <c r="C5" s="35"/>
      <c r="D5" s="35"/>
      <c r="E5" s="35"/>
      <c r="F5" s="36"/>
      <c r="G5" s="35"/>
    </row>
    <row r="6" spans="1:7" x14ac:dyDescent="0.25">
      <c r="A6" s="285" t="s">
        <v>135</v>
      </c>
      <c r="B6" s="286" t="s">
        <v>136</v>
      </c>
      <c r="C6" s="286" t="s">
        <v>137</v>
      </c>
      <c r="D6" s="287" t="s">
        <v>375</v>
      </c>
      <c r="E6" s="287"/>
      <c r="F6" s="287"/>
      <c r="G6" s="286" t="s">
        <v>138</v>
      </c>
    </row>
    <row r="7" spans="1:7" ht="44.25" customHeight="1" x14ac:dyDescent="0.25">
      <c r="A7" s="285"/>
      <c r="B7" s="286"/>
      <c r="C7" s="286"/>
      <c r="D7" s="37" t="s">
        <v>377</v>
      </c>
      <c r="E7" s="286" t="s">
        <v>139</v>
      </c>
      <c r="F7" s="286"/>
      <c r="G7" s="286"/>
    </row>
    <row r="8" spans="1:7" x14ac:dyDescent="0.25">
      <c r="A8" s="285"/>
      <c r="B8" s="286"/>
      <c r="C8" s="286"/>
      <c r="D8" s="37" t="s">
        <v>140</v>
      </c>
      <c r="E8" s="37" t="s">
        <v>141</v>
      </c>
      <c r="F8" s="38" t="s">
        <v>140</v>
      </c>
      <c r="G8" s="286"/>
    </row>
    <row r="9" spans="1:7" x14ac:dyDescent="0.25">
      <c r="A9" s="42">
        <v>1</v>
      </c>
      <c r="B9" s="43">
        <v>2</v>
      </c>
      <c r="C9" s="43">
        <v>3</v>
      </c>
      <c r="D9" s="43">
        <v>4</v>
      </c>
      <c r="E9" s="43">
        <v>5</v>
      </c>
      <c r="F9" s="43">
        <v>6</v>
      </c>
      <c r="G9" s="43">
        <v>7</v>
      </c>
    </row>
    <row r="10" spans="1:7" ht="40.5" customHeight="1" x14ac:dyDescent="0.25">
      <c r="A10" s="39"/>
      <c r="B10" s="145" t="s">
        <v>142</v>
      </c>
      <c r="C10" s="40"/>
      <c r="D10" s="40"/>
      <c r="E10" s="40"/>
      <c r="F10" s="146"/>
      <c r="G10" s="40"/>
    </row>
    <row r="11" spans="1:7" ht="42.75" customHeight="1" x14ac:dyDescent="0.25">
      <c r="A11" s="41" t="s">
        <v>143</v>
      </c>
      <c r="B11" s="40" t="s">
        <v>144</v>
      </c>
      <c r="C11" s="42" t="s">
        <v>31</v>
      </c>
      <c r="D11" s="142">
        <v>16852</v>
      </c>
      <c r="E11" s="147">
        <v>13000</v>
      </c>
      <c r="F11" s="147">
        <v>12865</v>
      </c>
      <c r="G11" s="40" t="s">
        <v>477</v>
      </c>
    </row>
    <row r="12" spans="1:7" ht="68.25" customHeight="1" x14ac:dyDescent="0.25">
      <c r="A12" s="41" t="s">
        <v>145</v>
      </c>
      <c r="B12" s="40" t="s">
        <v>146</v>
      </c>
      <c r="C12" s="42" t="s">
        <v>147</v>
      </c>
      <c r="D12" s="42">
        <v>100.3</v>
      </c>
      <c r="E12" s="148">
        <v>100</v>
      </c>
      <c r="F12" s="127">
        <v>105</v>
      </c>
      <c r="G12" s="43"/>
    </row>
    <row r="13" spans="1:7" ht="80.25" customHeight="1" x14ac:dyDescent="0.25">
      <c r="A13" s="41" t="s">
        <v>42</v>
      </c>
      <c r="B13" s="40" t="s">
        <v>148</v>
      </c>
      <c r="C13" s="42" t="s">
        <v>147</v>
      </c>
      <c r="D13" s="42">
        <v>97.8</v>
      </c>
      <c r="E13" s="148">
        <v>97</v>
      </c>
      <c r="F13" s="127">
        <v>97</v>
      </c>
      <c r="G13" s="40"/>
    </row>
    <row r="14" spans="1:7" ht="93" customHeight="1" x14ac:dyDescent="0.25">
      <c r="A14" s="41" t="s">
        <v>149</v>
      </c>
      <c r="B14" s="40" t="s">
        <v>150</v>
      </c>
      <c r="C14" s="42" t="s">
        <v>147</v>
      </c>
      <c r="D14" s="148">
        <v>100</v>
      </c>
      <c r="E14" s="148">
        <v>100</v>
      </c>
      <c r="F14" s="127">
        <v>100</v>
      </c>
      <c r="G14" s="40"/>
    </row>
    <row r="15" spans="1:7" ht="54.75" customHeight="1" x14ac:dyDescent="0.25">
      <c r="A15" s="41" t="s">
        <v>52</v>
      </c>
      <c r="B15" s="40" t="s">
        <v>151</v>
      </c>
      <c r="C15" s="42" t="s">
        <v>147</v>
      </c>
      <c r="D15" s="148">
        <v>82</v>
      </c>
      <c r="E15" s="148">
        <v>87</v>
      </c>
      <c r="F15" s="148">
        <v>87</v>
      </c>
      <c r="G15" s="40"/>
    </row>
    <row r="16" spans="1:7" ht="108.75" customHeight="1" x14ac:dyDescent="0.25">
      <c r="A16" s="41" t="s">
        <v>152</v>
      </c>
      <c r="B16" s="40" t="s">
        <v>153</v>
      </c>
      <c r="C16" s="42" t="s">
        <v>147</v>
      </c>
      <c r="D16" s="42">
        <v>14.6</v>
      </c>
      <c r="E16" s="42">
        <v>12.4</v>
      </c>
      <c r="F16" s="127">
        <v>16.7</v>
      </c>
      <c r="G16" s="40"/>
    </row>
    <row r="17" spans="1:7" ht="146.25" customHeight="1" x14ac:dyDescent="0.25">
      <c r="A17" s="41" t="s">
        <v>154</v>
      </c>
      <c r="B17" s="40" t="s">
        <v>155</v>
      </c>
      <c r="C17" s="42" t="s">
        <v>147</v>
      </c>
      <c r="D17" s="148">
        <v>100</v>
      </c>
      <c r="E17" s="148">
        <v>100</v>
      </c>
      <c r="F17" s="148">
        <v>100</v>
      </c>
      <c r="G17" s="97"/>
    </row>
    <row r="18" spans="1:7" ht="40.5" customHeight="1" x14ac:dyDescent="0.25">
      <c r="A18" s="41" t="s">
        <v>156</v>
      </c>
      <c r="B18" s="40" t="s">
        <v>157</v>
      </c>
      <c r="C18" s="42" t="s">
        <v>158</v>
      </c>
      <c r="D18" s="42">
        <v>68.2</v>
      </c>
      <c r="E18" s="42">
        <v>64.2</v>
      </c>
      <c r="F18" s="127">
        <v>64.2</v>
      </c>
      <c r="G18" s="40"/>
    </row>
    <row r="19" spans="1:7" ht="39.75" customHeight="1" x14ac:dyDescent="0.25">
      <c r="A19" s="41" t="s">
        <v>159</v>
      </c>
      <c r="B19" s="40" t="s">
        <v>160</v>
      </c>
      <c r="C19" s="42" t="s">
        <v>161</v>
      </c>
      <c r="D19" s="42">
        <v>0.152</v>
      </c>
      <c r="E19" s="149">
        <v>0.14499999999999999</v>
      </c>
      <c r="F19" s="173">
        <v>0.14499999999999999</v>
      </c>
      <c r="G19" s="40"/>
    </row>
    <row r="20" spans="1:7" ht="40.5" customHeight="1" x14ac:dyDescent="0.25">
      <c r="A20" s="44" t="s">
        <v>162</v>
      </c>
      <c r="B20" s="40" t="s">
        <v>163</v>
      </c>
      <c r="C20" s="42" t="s">
        <v>164</v>
      </c>
      <c r="D20" s="42">
        <v>1.62</v>
      </c>
      <c r="E20" s="42">
        <v>1.54</v>
      </c>
      <c r="F20" s="172">
        <v>1.54</v>
      </c>
      <c r="G20" s="40"/>
    </row>
    <row r="21" spans="1:7" ht="54" customHeight="1" x14ac:dyDescent="0.25">
      <c r="A21" s="44" t="s">
        <v>165</v>
      </c>
      <c r="B21" s="40" t="s">
        <v>166</v>
      </c>
      <c r="C21" s="42" t="s">
        <v>167</v>
      </c>
      <c r="D21" s="42">
        <v>20.3</v>
      </c>
      <c r="E21" s="42">
        <v>21.2</v>
      </c>
      <c r="F21" s="127">
        <v>21.2</v>
      </c>
      <c r="G21" s="40"/>
    </row>
    <row r="22" spans="1:7" ht="133.5" customHeight="1" x14ac:dyDescent="0.25">
      <c r="A22" s="41" t="s">
        <v>168</v>
      </c>
      <c r="B22" s="40" t="s">
        <v>169</v>
      </c>
      <c r="C22" s="42" t="s">
        <v>167</v>
      </c>
      <c r="D22" s="42">
        <v>2.02</v>
      </c>
      <c r="E22" s="42">
        <v>2.14</v>
      </c>
      <c r="F22" s="172">
        <v>2.14</v>
      </c>
      <c r="G22" s="40"/>
    </row>
    <row r="23" spans="1:7" ht="43.5" customHeight="1" x14ac:dyDescent="0.25">
      <c r="A23" s="44" t="s">
        <v>170</v>
      </c>
      <c r="B23" s="40" t="s">
        <v>171</v>
      </c>
      <c r="C23" s="42" t="s">
        <v>167</v>
      </c>
      <c r="D23" s="148">
        <v>100</v>
      </c>
      <c r="E23" s="148">
        <v>100</v>
      </c>
      <c r="F23" s="127">
        <v>100</v>
      </c>
      <c r="G23" s="40"/>
    </row>
    <row r="24" spans="1:7" ht="108.75" customHeight="1" x14ac:dyDescent="0.25">
      <c r="A24" s="44" t="s">
        <v>172</v>
      </c>
      <c r="B24" s="40" t="s">
        <v>173</v>
      </c>
      <c r="C24" s="42" t="s">
        <v>167</v>
      </c>
      <c r="D24" s="42">
        <v>10.7</v>
      </c>
      <c r="E24" s="42">
        <v>8.6999999999999993</v>
      </c>
      <c r="F24" s="127" t="s">
        <v>275</v>
      </c>
      <c r="G24" s="40" t="s">
        <v>600</v>
      </c>
    </row>
    <row r="25" spans="1:7" ht="15.75" x14ac:dyDescent="0.25">
      <c r="A25" s="41" t="s">
        <v>174</v>
      </c>
      <c r="B25" s="290" t="s">
        <v>175</v>
      </c>
      <c r="C25" s="290"/>
      <c r="D25" s="290"/>
      <c r="E25" s="290"/>
      <c r="F25" s="290"/>
      <c r="G25" s="290"/>
    </row>
    <row r="26" spans="1:7" ht="66.75" customHeight="1" x14ac:dyDescent="0.25">
      <c r="A26" s="41" t="s">
        <v>176</v>
      </c>
      <c r="B26" s="150" t="s">
        <v>177</v>
      </c>
      <c r="C26" s="42" t="s">
        <v>147</v>
      </c>
      <c r="D26" s="148">
        <v>100</v>
      </c>
      <c r="E26" s="148">
        <v>100</v>
      </c>
      <c r="F26" s="127">
        <v>99.99</v>
      </c>
      <c r="G26" s="151"/>
    </row>
    <row r="27" spans="1:7" ht="15.75" x14ac:dyDescent="0.25">
      <c r="A27" s="41" t="s">
        <v>178</v>
      </c>
      <c r="B27" s="290" t="s">
        <v>179</v>
      </c>
      <c r="C27" s="290"/>
      <c r="D27" s="290"/>
      <c r="E27" s="290"/>
      <c r="F27" s="290"/>
      <c r="G27" s="290"/>
    </row>
    <row r="28" spans="1:7" ht="107.25" customHeight="1" x14ac:dyDescent="0.25">
      <c r="A28" s="41" t="s">
        <v>180</v>
      </c>
      <c r="B28" s="40" t="s">
        <v>181</v>
      </c>
      <c r="C28" s="42" t="s">
        <v>147</v>
      </c>
      <c r="D28" s="148">
        <v>100</v>
      </c>
      <c r="E28" s="148">
        <v>100</v>
      </c>
      <c r="F28" s="148">
        <v>100</v>
      </c>
      <c r="G28" s="40"/>
    </row>
    <row r="29" spans="1:7" ht="57" customHeight="1" x14ac:dyDescent="0.25">
      <c r="A29" s="41" t="s">
        <v>182</v>
      </c>
      <c r="B29" s="40" t="s">
        <v>183</v>
      </c>
      <c r="C29" s="42" t="s">
        <v>31</v>
      </c>
      <c r="D29" s="42">
        <v>1626</v>
      </c>
      <c r="E29" s="142">
        <v>2600</v>
      </c>
      <c r="F29" s="142">
        <v>3112</v>
      </c>
      <c r="G29" s="40"/>
    </row>
    <row r="30" spans="1:7" ht="54.75" customHeight="1" x14ac:dyDescent="0.25">
      <c r="A30" s="41" t="s">
        <v>184</v>
      </c>
      <c r="B30" s="40" t="s">
        <v>185</v>
      </c>
      <c r="C30" s="42" t="s">
        <v>186</v>
      </c>
      <c r="D30" s="42">
        <v>4816</v>
      </c>
      <c r="E30" s="142">
        <v>8300</v>
      </c>
      <c r="F30" s="142">
        <v>8652</v>
      </c>
      <c r="G30" s="40"/>
    </row>
    <row r="31" spans="1:7" ht="53.25" customHeight="1" x14ac:dyDescent="0.25">
      <c r="A31" s="41" t="s">
        <v>187</v>
      </c>
      <c r="B31" s="40" t="s">
        <v>188</v>
      </c>
      <c r="C31" s="42" t="s">
        <v>31</v>
      </c>
      <c r="D31" s="42">
        <v>2472</v>
      </c>
      <c r="E31" s="142">
        <v>4700</v>
      </c>
      <c r="F31" s="142">
        <v>7778</v>
      </c>
      <c r="G31" s="40"/>
    </row>
    <row r="32" spans="1:7" ht="15.75" x14ac:dyDescent="0.25">
      <c r="A32" s="41" t="s">
        <v>189</v>
      </c>
      <c r="B32" s="290" t="s">
        <v>190</v>
      </c>
      <c r="C32" s="290"/>
      <c r="D32" s="290"/>
      <c r="E32" s="290"/>
      <c r="F32" s="290"/>
      <c r="G32" s="290"/>
    </row>
    <row r="33" spans="1:7" ht="182.25" customHeight="1" x14ac:dyDescent="0.25">
      <c r="A33" s="41" t="s">
        <v>191</v>
      </c>
      <c r="B33" s="40" t="s">
        <v>192</v>
      </c>
      <c r="C33" s="42" t="s">
        <v>147</v>
      </c>
      <c r="D33" s="148">
        <v>91.5</v>
      </c>
      <c r="E33" s="148">
        <v>94</v>
      </c>
      <c r="F33" s="127">
        <v>94.8</v>
      </c>
      <c r="G33" s="40"/>
    </row>
    <row r="34" spans="1:7" ht="117.75" customHeight="1" x14ac:dyDescent="0.25">
      <c r="A34" s="41" t="s">
        <v>598</v>
      </c>
      <c r="B34" s="40" t="s">
        <v>193</v>
      </c>
      <c r="C34" s="42" t="s">
        <v>469</v>
      </c>
      <c r="D34" s="42">
        <v>1.62</v>
      </c>
      <c r="E34" s="174">
        <v>1.7529999999999999</v>
      </c>
      <c r="F34" s="172">
        <v>1.61</v>
      </c>
      <c r="G34" s="40"/>
    </row>
    <row r="35" spans="1:7" ht="120.75" customHeight="1" x14ac:dyDescent="0.25">
      <c r="A35" s="41" t="s">
        <v>597</v>
      </c>
      <c r="B35" s="40" t="s">
        <v>194</v>
      </c>
      <c r="C35" s="42" t="s">
        <v>31</v>
      </c>
      <c r="D35" s="148">
        <v>100.58</v>
      </c>
      <c r="E35" s="42">
        <v>111.7</v>
      </c>
      <c r="F35" s="127">
        <v>100.5</v>
      </c>
      <c r="G35" s="40"/>
    </row>
    <row r="36" spans="1:7" ht="121.5" customHeight="1" x14ac:dyDescent="0.25">
      <c r="A36" s="41" t="s">
        <v>596</v>
      </c>
      <c r="B36" s="40" t="s">
        <v>195</v>
      </c>
      <c r="C36" s="42" t="s">
        <v>31</v>
      </c>
      <c r="D36" s="175">
        <v>76.319999999999993</v>
      </c>
      <c r="E36" s="42">
        <v>90.5</v>
      </c>
      <c r="F36" s="127">
        <v>75.599999999999994</v>
      </c>
      <c r="G36" s="40"/>
    </row>
    <row r="37" spans="1:7" ht="42.75" customHeight="1" x14ac:dyDescent="0.25">
      <c r="A37" s="41" t="s">
        <v>595</v>
      </c>
      <c r="B37" s="40" t="s">
        <v>259</v>
      </c>
      <c r="C37" s="42" t="s">
        <v>186</v>
      </c>
      <c r="D37" s="42" t="s">
        <v>275</v>
      </c>
      <c r="E37" s="174">
        <v>0.61499999999999999</v>
      </c>
      <c r="F37" s="174">
        <v>0.57999999999999996</v>
      </c>
      <c r="G37" s="40"/>
    </row>
    <row r="38" spans="1:7" ht="43.5" customHeight="1" x14ac:dyDescent="0.25">
      <c r="A38" s="41" t="s">
        <v>594</v>
      </c>
      <c r="B38" s="40" t="s">
        <v>260</v>
      </c>
      <c r="C38" s="42" t="s">
        <v>186</v>
      </c>
      <c r="D38" s="42" t="s">
        <v>275</v>
      </c>
      <c r="E38" s="174">
        <v>0.38300000000000001</v>
      </c>
      <c r="F38" s="174">
        <v>0.35</v>
      </c>
      <c r="G38" s="40"/>
    </row>
    <row r="39" spans="1:7" ht="78.75" customHeight="1" x14ac:dyDescent="0.25">
      <c r="A39" s="41" t="s">
        <v>593</v>
      </c>
      <c r="B39" s="40" t="s">
        <v>261</v>
      </c>
      <c r="C39" s="42" t="s">
        <v>186</v>
      </c>
      <c r="D39" s="42" t="s">
        <v>275</v>
      </c>
      <c r="E39" s="148">
        <v>43.68</v>
      </c>
      <c r="F39" s="127">
        <v>40.5</v>
      </c>
      <c r="G39" s="40"/>
    </row>
    <row r="40" spans="1:7" ht="78" customHeight="1" x14ac:dyDescent="0.25">
      <c r="A40" s="41" t="s">
        <v>281</v>
      </c>
      <c r="B40" s="40" t="s">
        <v>282</v>
      </c>
      <c r="C40" s="42" t="s">
        <v>147</v>
      </c>
      <c r="D40" s="42" t="s">
        <v>275</v>
      </c>
      <c r="E40" s="42">
        <v>59.7</v>
      </c>
      <c r="F40" s="127">
        <v>61.3</v>
      </c>
      <c r="G40" s="40"/>
    </row>
    <row r="41" spans="1:7" ht="21.75" customHeight="1" x14ac:dyDescent="0.25">
      <c r="A41" s="294"/>
      <c r="B41" s="294"/>
      <c r="C41" s="294"/>
      <c r="D41" s="294"/>
      <c r="E41" s="294"/>
      <c r="F41" s="294"/>
      <c r="G41" s="294"/>
    </row>
    <row r="42" spans="1:7" ht="25.5" customHeight="1" x14ac:dyDescent="0.25">
      <c r="A42" s="295"/>
      <c r="B42" s="295"/>
      <c r="C42" s="295"/>
      <c r="D42" s="295"/>
      <c r="E42" s="295"/>
      <c r="F42" s="295"/>
      <c r="G42" s="295"/>
    </row>
    <row r="43" spans="1:7" ht="39.75" customHeight="1" x14ac:dyDescent="0.25">
      <c r="A43" s="295"/>
      <c r="B43" s="295"/>
      <c r="C43" s="295"/>
      <c r="D43" s="295"/>
      <c r="E43" s="295"/>
      <c r="F43" s="295"/>
      <c r="G43" s="295"/>
    </row>
    <row r="44" spans="1:7" ht="81" customHeight="1" x14ac:dyDescent="0.3">
      <c r="A44" s="288" t="s">
        <v>592</v>
      </c>
      <c r="B44" s="291"/>
      <c r="C44" s="45"/>
      <c r="D44" s="45"/>
      <c r="E44" s="45"/>
      <c r="F44" s="292" t="s">
        <v>599</v>
      </c>
      <c r="G44" s="292"/>
    </row>
    <row r="46" spans="1:7" ht="15" customHeight="1" x14ac:dyDescent="0.25">
      <c r="A46" s="293"/>
      <c r="B46" s="293"/>
      <c r="C46" s="293"/>
    </row>
    <row r="47" spans="1:7" x14ac:dyDescent="0.25">
      <c r="A47" s="293"/>
      <c r="B47" s="293"/>
      <c r="C47" s="293"/>
    </row>
    <row r="48" spans="1:7" ht="42" customHeight="1" x14ac:dyDescent="0.25"/>
    <row r="49" spans="1:2" x14ac:dyDescent="0.25">
      <c r="A49" s="289"/>
      <c r="B49" s="289"/>
    </row>
    <row r="51" spans="1:2" x14ac:dyDescent="0.25">
      <c r="A51" s="296" t="s">
        <v>521</v>
      </c>
      <c r="B51" s="296"/>
    </row>
    <row r="52" spans="1:2" x14ac:dyDescent="0.25">
      <c r="A52" s="296" t="s">
        <v>522</v>
      </c>
      <c r="B52" s="296"/>
    </row>
    <row r="53" spans="1:2" x14ac:dyDescent="0.25">
      <c r="A53" s="296"/>
      <c r="B53" s="296"/>
    </row>
    <row r="54" spans="1:2" x14ac:dyDescent="0.25">
      <c r="A54" s="296"/>
      <c r="B54" s="296"/>
    </row>
    <row r="55" spans="1:2" ht="18.75" customHeight="1" x14ac:dyDescent="0.25">
      <c r="A55" s="288"/>
      <c r="B55" s="288"/>
    </row>
    <row r="56" spans="1:2" ht="15" customHeight="1" x14ac:dyDescent="0.25">
      <c r="A56" s="288"/>
      <c r="B56" s="288"/>
    </row>
  </sheetData>
  <customSheetViews>
    <customSheetView guid="{DAA129B7-49F7-47F4-BBAF-F3BC13A03360}" scale="80" showPageBreaks="1" printArea="1" view="pageBreakPreview" topLeftCell="A21">
      <selection activeCell="B11" sqref="B11"/>
      <pageMargins left="0.70866141732283472" right="0.70866141732283472" top="0.74803149606299213" bottom="0.74803149606299213" header="0.31496062992125984" footer="0.31496062992125984"/>
      <pageSetup paperSize="9" scale="81" orientation="portrait" r:id="rId1"/>
    </customSheetView>
    <customSheetView guid="{9C37FF47-DD3C-484B-9633-D678A759C142}" scale="80" showPageBreaks="1" printArea="1" view="pageBreakPreview" topLeftCell="A25">
      <selection activeCell="G39" sqref="G39"/>
      <rowBreaks count="2" manualBreakCount="2">
        <brk id="32" max="6" man="1"/>
        <brk id="46" max="6" man="1"/>
      </rowBreaks>
      <pageMargins left="0.70866141732283472" right="0.70866141732283472" top="0.74803149606299213" bottom="0.74803149606299213" header="0.31496062992125984" footer="0.31496062992125984"/>
      <pageSetup paperSize="9" scale="70" orientation="portrait" r:id="rId2"/>
    </customSheetView>
  </customSheetViews>
  <mergeCells count="24">
    <mergeCell ref="A55:B56"/>
    <mergeCell ref="A49:B49"/>
    <mergeCell ref="B25:G25"/>
    <mergeCell ref="B27:G27"/>
    <mergeCell ref="B32:G32"/>
    <mergeCell ref="A44:B44"/>
    <mergeCell ref="F44:G44"/>
    <mergeCell ref="A46:C47"/>
    <mergeCell ref="A41:G42"/>
    <mergeCell ref="A43:G43"/>
    <mergeCell ref="A53:B53"/>
    <mergeCell ref="A54:B54"/>
    <mergeCell ref="A51:B51"/>
    <mergeCell ref="A52:B52"/>
    <mergeCell ref="A1:G1"/>
    <mergeCell ref="A2:G2"/>
    <mergeCell ref="A3:G3"/>
    <mergeCell ref="A4:G4"/>
    <mergeCell ref="A6:A8"/>
    <mergeCell ref="B6:B8"/>
    <mergeCell ref="C6:C8"/>
    <mergeCell ref="D6:F6"/>
    <mergeCell ref="G6:G8"/>
    <mergeCell ref="E7:F7"/>
  </mergeCells>
  <pageMargins left="0.70866141732283472" right="0.70866141732283472" top="0.74803149606299213" bottom="0.74803149606299213" header="0.31496062992125984" footer="0.31496062992125984"/>
  <pageSetup paperSize="9" scale="81" fitToHeight="0" orientation="portrait" r:id="rId3"/>
  <rowBreaks count="3" manualBreakCount="3">
    <brk id="20" max="6" man="1"/>
    <brk id="33" max="6" man="1"/>
    <brk id="54"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9"/>
  <sheetViews>
    <sheetView view="pageBreakPreview" zoomScale="50" zoomScaleNormal="30" zoomScaleSheetLayoutView="50" workbookViewId="0">
      <pane xSplit="1" topLeftCell="B1" activePane="topRight" state="frozen"/>
      <selection activeCell="A53" sqref="A53"/>
      <selection pane="topRight" activeCell="O142" sqref="O142"/>
    </sheetView>
  </sheetViews>
  <sheetFormatPr defaultRowHeight="18.75" x14ac:dyDescent="0.3"/>
  <cols>
    <col min="1" max="1" width="13" style="79" customWidth="1"/>
    <col min="2" max="2" width="38.85546875" style="79" customWidth="1"/>
    <col min="3" max="3" width="9.140625" style="79" customWidth="1"/>
    <col min="4" max="4" width="40.140625" style="118" customWidth="1"/>
    <col min="5" max="5" width="19.5703125" style="79" customWidth="1"/>
    <col min="6" max="6" width="17.28515625" style="79" customWidth="1"/>
    <col min="7" max="7" width="18.140625" style="79" customWidth="1"/>
    <col min="8" max="8" width="19.5703125" style="156" customWidth="1"/>
    <col min="9" max="9" width="23.5703125" style="79" customWidth="1"/>
    <col min="10" max="10" width="22.28515625" style="79" customWidth="1"/>
    <col min="11" max="11" width="21.7109375" style="79" customWidth="1"/>
    <col min="12" max="12" width="21.42578125" style="79" customWidth="1"/>
    <col min="13" max="14" width="19.42578125" style="79" customWidth="1"/>
    <col min="15" max="15" width="20.7109375" style="79" customWidth="1"/>
    <col min="16" max="16" width="20.28515625" style="79" customWidth="1"/>
    <col min="17" max="17" width="29" style="138" customWidth="1"/>
    <col min="18" max="16384" width="9.140625" style="79"/>
  </cols>
  <sheetData>
    <row r="1" spans="1:19" x14ac:dyDescent="0.3">
      <c r="A1" s="46"/>
      <c r="B1" s="303" t="s">
        <v>133</v>
      </c>
      <c r="C1" s="303"/>
      <c r="D1" s="303"/>
      <c r="E1" s="303"/>
      <c r="F1" s="303"/>
      <c r="G1" s="303"/>
      <c r="H1" s="303"/>
      <c r="I1" s="303"/>
      <c r="J1" s="303"/>
      <c r="K1" s="303"/>
      <c r="L1" s="303"/>
      <c r="M1" s="303"/>
      <c r="N1" s="303"/>
      <c r="O1" s="303"/>
      <c r="P1" s="303"/>
      <c r="Q1" s="137"/>
      <c r="R1" s="49"/>
      <c r="S1" s="49"/>
    </row>
    <row r="2" spans="1:19" x14ac:dyDescent="0.3">
      <c r="A2" s="50" t="s">
        <v>196</v>
      </c>
      <c r="B2" s="304" t="s">
        <v>197</v>
      </c>
      <c r="C2" s="304"/>
      <c r="D2" s="304"/>
      <c r="E2" s="304"/>
      <c r="F2" s="304"/>
      <c r="G2" s="304"/>
      <c r="H2" s="304"/>
      <c r="I2" s="304"/>
      <c r="J2" s="304"/>
      <c r="K2" s="304"/>
      <c r="L2" s="304"/>
      <c r="M2" s="304"/>
      <c r="N2" s="304"/>
      <c r="O2" s="304"/>
      <c r="P2" s="304"/>
      <c r="Q2" s="51"/>
      <c r="R2" s="49"/>
      <c r="S2" s="49"/>
    </row>
    <row r="3" spans="1:19" x14ac:dyDescent="0.3">
      <c r="A3" s="50" t="s">
        <v>198</v>
      </c>
      <c r="B3" s="304" t="s">
        <v>199</v>
      </c>
      <c r="C3" s="304"/>
      <c r="D3" s="304"/>
      <c r="E3" s="304"/>
      <c r="F3" s="304"/>
      <c r="G3" s="304"/>
      <c r="H3" s="304"/>
      <c r="I3" s="304"/>
      <c r="J3" s="304"/>
      <c r="K3" s="304"/>
      <c r="L3" s="304"/>
      <c r="M3" s="304"/>
      <c r="N3" s="304"/>
      <c r="O3" s="304"/>
      <c r="P3" s="304"/>
      <c r="Q3" s="51"/>
      <c r="R3" s="48"/>
      <c r="S3" s="48"/>
    </row>
    <row r="4" spans="1:19" ht="18.75" customHeight="1" x14ac:dyDescent="0.3">
      <c r="A4" s="52" t="s">
        <v>200</v>
      </c>
      <c r="B4" s="305" t="s">
        <v>424</v>
      </c>
      <c r="C4" s="305"/>
      <c r="D4" s="305"/>
      <c r="E4" s="305"/>
      <c r="F4" s="305"/>
      <c r="G4" s="305"/>
      <c r="H4" s="305"/>
      <c r="I4" s="305"/>
      <c r="J4" s="305"/>
      <c r="K4" s="305"/>
      <c r="L4" s="305"/>
      <c r="M4" s="305"/>
      <c r="N4" s="305"/>
      <c r="O4" s="305"/>
      <c r="P4" s="305"/>
      <c r="Q4" s="53"/>
      <c r="R4" s="48"/>
      <c r="S4" s="48"/>
    </row>
    <row r="5" spans="1:19" x14ac:dyDescent="0.25">
      <c r="A5" s="54"/>
      <c r="B5" s="55"/>
      <c r="C5" s="54"/>
      <c r="D5" s="115"/>
      <c r="E5" s="54"/>
      <c r="F5" s="54"/>
      <c r="G5" s="54"/>
      <c r="H5" s="54"/>
      <c r="I5" s="47"/>
      <c r="J5" s="47"/>
      <c r="K5" s="47"/>
      <c r="L5" s="47"/>
      <c r="M5" s="47"/>
      <c r="N5" s="47"/>
      <c r="O5" s="47"/>
      <c r="P5" s="47"/>
      <c r="Q5" s="67"/>
      <c r="R5" s="48"/>
      <c r="S5" s="48"/>
    </row>
    <row r="6" spans="1:19" ht="18.75" customHeight="1" x14ac:dyDescent="0.25">
      <c r="A6" s="300" t="s">
        <v>201</v>
      </c>
      <c r="B6" s="301" t="s">
        <v>202</v>
      </c>
      <c r="C6" s="306" t="s">
        <v>203</v>
      </c>
      <c r="D6" s="307" t="s">
        <v>204</v>
      </c>
      <c r="E6" s="306" t="s">
        <v>205</v>
      </c>
      <c r="F6" s="306" t="s">
        <v>206</v>
      </c>
      <c r="G6" s="306" t="s">
        <v>207</v>
      </c>
      <c r="H6" s="306" t="s">
        <v>208</v>
      </c>
      <c r="I6" s="312" t="s">
        <v>209</v>
      </c>
      <c r="J6" s="312"/>
      <c r="K6" s="312"/>
      <c r="L6" s="312"/>
      <c r="M6" s="312"/>
      <c r="N6" s="312"/>
      <c r="O6" s="312"/>
      <c r="P6" s="312"/>
      <c r="Q6" s="301" t="s">
        <v>326</v>
      </c>
      <c r="R6" s="57"/>
      <c r="S6" s="57"/>
    </row>
    <row r="7" spans="1:19" x14ac:dyDescent="0.25">
      <c r="A7" s="300"/>
      <c r="B7" s="301"/>
      <c r="C7" s="306"/>
      <c r="D7" s="307"/>
      <c r="E7" s="306"/>
      <c r="F7" s="306"/>
      <c r="G7" s="306"/>
      <c r="H7" s="306"/>
      <c r="I7" s="310" t="s">
        <v>210</v>
      </c>
      <c r="J7" s="310"/>
      <c r="K7" s="311" t="s">
        <v>211</v>
      </c>
      <c r="L7" s="311"/>
      <c r="M7" s="310" t="s">
        <v>212</v>
      </c>
      <c r="N7" s="310"/>
      <c r="O7" s="310" t="s">
        <v>213</v>
      </c>
      <c r="P7" s="310"/>
      <c r="Q7" s="301"/>
      <c r="R7" s="48"/>
      <c r="S7" s="48"/>
    </row>
    <row r="8" spans="1:19" ht="141.75" customHeight="1" x14ac:dyDescent="0.25">
      <c r="A8" s="300"/>
      <c r="B8" s="301"/>
      <c r="C8" s="306"/>
      <c r="D8" s="307"/>
      <c r="E8" s="306"/>
      <c r="F8" s="306"/>
      <c r="G8" s="306"/>
      <c r="H8" s="306"/>
      <c r="I8" s="163" t="s">
        <v>141</v>
      </c>
      <c r="J8" s="163" t="s">
        <v>140</v>
      </c>
      <c r="K8" s="163" t="s">
        <v>141</v>
      </c>
      <c r="L8" s="163" t="s">
        <v>140</v>
      </c>
      <c r="M8" s="163" t="s">
        <v>141</v>
      </c>
      <c r="N8" s="163" t="s">
        <v>140</v>
      </c>
      <c r="O8" s="163" t="s">
        <v>141</v>
      </c>
      <c r="P8" s="163" t="s">
        <v>140</v>
      </c>
      <c r="Q8" s="301"/>
      <c r="R8" s="48"/>
      <c r="S8" s="48"/>
    </row>
    <row r="9" spans="1:19" x14ac:dyDescent="0.25">
      <c r="A9" s="58">
        <v>1</v>
      </c>
      <c r="B9" s="59">
        <v>2</v>
      </c>
      <c r="C9" s="59">
        <v>3</v>
      </c>
      <c r="D9" s="116">
        <v>4</v>
      </c>
      <c r="E9" s="59">
        <v>5</v>
      </c>
      <c r="F9" s="59">
        <v>6</v>
      </c>
      <c r="G9" s="59">
        <v>7</v>
      </c>
      <c r="H9" s="59">
        <v>8</v>
      </c>
      <c r="I9" s="60">
        <v>9</v>
      </c>
      <c r="J9" s="60">
        <v>10</v>
      </c>
      <c r="K9" s="60">
        <v>11</v>
      </c>
      <c r="L9" s="60">
        <v>12</v>
      </c>
      <c r="M9" s="60">
        <v>13</v>
      </c>
      <c r="N9" s="60">
        <v>14</v>
      </c>
      <c r="O9" s="60">
        <v>15</v>
      </c>
      <c r="P9" s="60">
        <v>16</v>
      </c>
      <c r="Q9" s="59">
        <v>17</v>
      </c>
      <c r="R9" s="57"/>
      <c r="S9" s="57"/>
    </row>
    <row r="10" spans="1:19" ht="68.25" customHeight="1" x14ac:dyDescent="0.25">
      <c r="A10" s="162" t="s">
        <v>78</v>
      </c>
      <c r="B10" s="157" t="s">
        <v>214</v>
      </c>
      <c r="C10" s="165"/>
      <c r="D10" s="164" t="s">
        <v>27</v>
      </c>
      <c r="E10" s="159" t="s">
        <v>268</v>
      </c>
      <c r="F10" s="159" t="s">
        <v>269</v>
      </c>
      <c r="G10" s="159" t="s">
        <v>268</v>
      </c>
      <c r="H10" s="158">
        <v>44196</v>
      </c>
      <c r="I10" s="160">
        <f>I11</f>
        <v>272777.09999999998</v>
      </c>
      <c r="J10" s="160">
        <f t="shared" ref="J10:L10" si="0">J11</f>
        <v>274724.40000000002</v>
      </c>
      <c r="K10" s="160">
        <v>358760.7</v>
      </c>
      <c r="L10" s="160">
        <f t="shared" si="0"/>
        <v>377065</v>
      </c>
      <c r="M10" s="160">
        <f>M11</f>
        <v>360772.8</v>
      </c>
      <c r="N10" s="160">
        <f>N11</f>
        <v>343924.5</v>
      </c>
      <c r="O10" s="160">
        <f>O11</f>
        <v>453218.4</v>
      </c>
      <c r="P10" s="160">
        <f>P11</f>
        <v>438915.70000000007</v>
      </c>
      <c r="Q10" s="165" t="s">
        <v>23</v>
      </c>
      <c r="R10" s="48"/>
      <c r="S10" s="48"/>
    </row>
    <row r="11" spans="1:19" ht="372.75" customHeight="1" x14ac:dyDescent="0.25">
      <c r="A11" s="162" t="s">
        <v>25</v>
      </c>
      <c r="B11" s="157" t="s">
        <v>26</v>
      </c>
      <c r="C11" s="164"/>
      <c r="D11" s="164" t="s">
        <v>379</v>
      </c>
      <c r="E11" s="159" t="s">
        <v>268</v>
      </c>
      <c r="F11" s="159" t="s">
        <v>269</v>
      </c>
      <c r="G11" s="159" t="s">
        <v>268</v>
      </c>
      <c r="H11" s="158">
        <v>44196</v>
      </c>
      <c r="I11" s="160">
        <v>272777.09999999998</v>
      </c>
      <c r="J11" s="160">
        <v>274724.40000000002</v>
      </c>
      <c r="K11" s="160">
        <v>358760.7</v>
      </c>
      <c r="L11" s="160">
        <f>651789.4-J11</f>
        <v>377065</v>
      </c>
      <c r="M11" s="160">
        <v>360772.8</v>
      </c>
      <c r="N11" s="160">
        <f>995713.9-L11-J11</f>
        <v>343924.5</v>
      </c>
      <c r="O11" s="160">
        <v>453218.4</v>
      </c>
      <c r="P11" s="160">
        <f>1434629.6-N11-L11-J11</f>
        <v>438915.70000000007</v>
      </c>
      <c r="Q11" s="141" t="s">
        <v>497</v>
      </c>
      <c r="R11" s="48"/>
      <c r="S11" s="48"/>
    </row>
    <row r="12" spans="1:19" ht="25.5" customHeight="1" x14ac:dyDescent="0.25">
      <c r="A12" s="62" t="s">
        <v>28</v>
      </c>
      <c r="B12" s="309" t="s">
        <v>215</v>
      </c>
      <c r="C12" s="309"/>
      <c r="D12" s="309"/>
      <c r="E12" s="309"/>
      <c r="F12" s="309"/>
      <c r="G12" s="309"/>
      <c r="H12" s="309"/>
      <c r="I12" s="91">
        <f t="shared" ref="I12:P12" si="1">I13+I15+I16+I17+I19+I20+I21+I23+I24+I26+I27+I28+I29+I30+I32+I33+I34+I35+I36+I38+I40+I41+I42+I45+I46+I47+I49+I50+I14+I18+I22+I39+I51+I48</f>
        <v>4491136.5</v>
      </c>
      <c r="J12" s="91">
        <f t="shared" si="1"/>
        <v>4533779.5999999996</v>
      </c>
      <c r="K12" s="91">
        <f t="shared" si="1"/>
        <v>3292020.8</v>
      </c>
      <c r="L12" s="91">
        <f t="shared" si="1"/>
        <v>3354826.7000000007</v>
      </c>
      <c r="M12" s="91">
        <f t="shared" si="1"/>
        <v>2837069.9999999995</v>
      </c>
      <c r="N12" s="91">
        <f t="shared" si="1"/>
        <v>2836137.8000000007</v>
      </c>
      <c r="O12" s="91">
        <f>O13+O15+O16+O17+O19+O20+O21+O23+O24+O26+O27+O28+O29+O30+O32+O33+O34+O35+O36+O38+O40+O41+O42+O45+O46+O47+O49+O50+O14+O18+O22+O39+O51+O48</f>
        <v>5000393.4000000004</v>
      </c>
      <c r="P12" s="91">
        <f t="shared" si="1"/>
        <v>4508758.3000000007</v>
      </c>
      <c r="Q12" s="161"/>
      <c r="R12" s="63"/>
      <c r="S12" s="63"/>
    </row>
    <row r="13" spans="1:19" ht="384.75" customHeight="1" x14ac:dyDescent="0.25">
      <c r="A13" s="162" t="s">
        <v>25</v>
      </c>
      <c r="B13" s="157" t="s">
        <v>30</v>
      </c>
      <c r="C13" s="165"/>
      <c r="D13" s="164" t="s">
        <v>380</v>
      </c>
      <c r="E13" s="159" t="s">
        <v>268</v>
      </c>
      <c r="F13" s="159" t="s">
        <v>269</v>
      </c>
      <c r="G13" s="159" t="s">
        <v>268</v>
      </c>
      <c r="H13" s="158">
        <v>44196</v>
      </c>
      <c r="I13" s="160">
        <v>94097.5</v>
      </c>
      <c r="J13" s="160">
        <v>94097.5</v>
      </c>
      <c r="K13" s="160">
        <v>95414.3</v>
      </c>
      <c r="L13" s="160">
        <f>219718.4-J13</f>
        <v>125620.9</v>
      </c>
      <c r="M13" s="160">
        <v>97084.4</v>
      </c>
      <c r="N13" s="160">
        <f>286586.4-L13-J13</f>
        <v>66868.000000000029</v>
      </c>
      <c r="O13" s="160">
        <v>101870.39999999999</v>
      </c>
      <c r="P13" s="160">
        <f>384203.1-N13-L13-J13</f>
        <v>97616.699999999983</v>
      </c>
      <c r="Q13" s="140" t="s">
        <v>498</v>
      </c>
      <c r="R13" s="48"/>
      <c r="S13" s="48"/>
    </row>
    <row r="14" spans="1:19" ht="378" customHeight="1" x14ac:dyDescent="0.25">
      <c r="A14" s="162" t="s">
        <v>33</v>
      </c>
      <c r="B14" s="157" t="s">
        <v>216</v>
      </c>
      <c r="C14" s="165"/>
      <c r="D14" s="164" t="s">
        <v>381</v>
      </c>
      <c r="E14" s="159" t="s">
        <v>268</v>
      </c>
      <c r="F14" s="159" t="s">
        <v>269</v>
      </c>
      <c r="G14" s="159" t="s">
        <v>268</v>
      </c>
      <c r="H14" s="158">
        <v>44196</v>
      </c>
      <c r="I14" s="160">
        <v>996.6</v>
      </c>
      <c r="J14" s="160">
        <v>996.6</v>
      </c>
      <c r="K14" s="160">
        <v>920.5</v>
      </c>
      <c r="L14" s="160">
        <f>2197.5-J14</f>
        <v>1200.9000000000001</v>
      </c>
      <c r="M14" s="160">
        <v>916.2</v>
      </c>
      <c r="N14" s="160">
        <f>2833.2-L14-J14</f>
        <v>635.6999999999997</v>
      </c>
      <c r="O14" s="160">
        <v>1136</v>
      </c>
      <c r="P14" s="160">
        <f>3733.7-N14-L14-J14</f>
        <v>900.49999999999989</v>
      </c>
      <c r="Q14" s="140" t="s">
        <v>499</v>
      </c>
      <c r="R14" s="48"/>
      <c r="S14" s="48"/>
    </row>
    <row r="15" spans="1:19" ht="321.75" customHeight="1" x14ac:dyDescent="0.25">
      <c r="A15" s="162" t="s">
        <v>34</v>
      </c>
      <c r="B15" s="157" t="s">
        <v>217</v>
      </c>
      <c r="C15" s="165"/>
      <c r="D15" s="164" t="s">
        <v>381</v>
      </c>
      <c r="E15" s="159" t="s">
        <v>268</v>
      </c>
      <c r="F15" s="159" t="s">
        <v>269</v>
      </c>
      <c r="G15" s="159" t="s">
        <v>268</v>
      </c>
      <c r="H15" s="158">
        <v>44196</v>
      </c>
      <c r="I15" s="160">
        <v>5512.9</v>
      </c>
      <c r="J15" s="160">
        <v>5512.9</v>
      </c>
      <c r="K15" s="160">
        <v>5438.8</v>
      </c>
      <c r="L15" s="160">
        <f>12700.8-J15</f>
        <v>7187.9</v>
      </c>
      <c r="M15" s="160">
        <v>5418.8</v>
      </c>
      <c r="N15" s="160">
        <f>16370.5-L15-J15</f>
        <v>3669.7000000000007</v>
      </c>
      <c r="O15" s="160">
        <v>6423</v>
      </c>
      <c r="P15" s="160">
        <f>21820.2-N15-L15-J15</f>
        <v>5449.7000000000007</v>
      </c>
      <c r="Q15" s="139" t="s">
        <v>499</v>
      </c>
      <c r="R15" s="48"/>
      <c r="S15" s="48"/>
    </row>
    <row r="16" spans="1:19" ht="409.5" customHeight="1" x14ac:dyDescent="0.25">
      <c r="A16" s="162" t="s">
        <v>36</v>
      </c>
      <c r="B16" s="157" t="s">
        <v>276</v>
      </c>
      <c r="C16" s="165"/>
      <c r="D16" s="164" t="s">
        <v>381</v>
      </c>
      <c r="E16" s="158">
        <v>43839</v>
      </c>
      <c r="F16" s="159" t="s">
        <v>269</v>
      </c>
      <c r="G16" s="158">
        <v>43839</v>
      </c>
      <c r="H16" s="158">
        <v>44196</v>
      </c>
      <c r="I16" s="160">
        <v>9.3000000000000007</v>
      </c>
      <c r="J16" s="160">
        <v>9.3000000000000007</v>
      </c>
      <c r="K16" s="160">
        <v>18624.8</v>
      </c>
      <c r="L16" s="160">
        <f>18634.1-J16</f>
        <v>18624.8</v>
      </c>
      <c r="M16" s="160">
        <v>108.3</v>
      </c>
      <c r="N16" s="160">
        <f>18742.4-L16-J16</f>
        <v>108.30000000000219</v>
      </c>
      <c r="O16" s="160">
        <v>479.8</v>
      </c>
      <c r="P16" s="160">
        <f>18833.8-N16-L16-J16</f>
        <v>91.399999999997092</v>
      </c>
      <c r="Q16" s="157" t="s">
        <v>500</v>
      </c>
      <c r="R16" s="48"/>
      <c r="S16" s="48"/>
    </row>
    <row r="17" spans="1:19" ht="331.5" customHeight="1" x14ac:dyDescent="0.25">
      <c r="A17" s="162" t="s">
        <v>37</v>
      </c>
      <c r="B17" s="157" t="s">
        <v>218</v>
      </c>
      <c r="C17" s="165"/>
      <c r="D17" s="164" t="s">
        <v>382</v>
      </c>
      <c r="E17" s="159" t="s">
        <v>268</v>
      </c>
      <c r="F17" s="159" t="s">
        <v>269</v>
      </c>
      <c r="G17" s="159" t="s">
        <v>268</v>
      </c>
      <c r="H17" s="158">
        <v>44196</v>
      </c>
      <c r="I17" s="160">
        <v>45545</v>
      </c>
      <c r="J17" s="160">
        <v>45559.199999999997</v>
      </c>
      <c r="K17" s="160">
        <v>31378.400000000001</v>
      </c>
      <c r="L17" s="160">
        <f>76937.6-J17</f>
        <v>31378.400000000009</v>
      </c>
      <c r="M17" s="160">
        <v>34507.800000000003</v>
      </c>
      <c r="N17" s="160">
        <f>111430.2-L17-J17</f>
        <v>34492.599999999991</v>
      </c>
      <c r="O17" s="160">
        <v>34548.800000000003</v>
      </c>
      <c r="P17" s="160">
        <f>144057.5-N17-L17-J17</f>
        <v>32627.300000000003</v>
      </c>
      <c r="Q17" s="157" t="s">
        <v>501</v>
      </c>
      <c r="R17" s="48"/>
      <c r="S17" s="48"/>
    </row>
    <row r="18" spans="1:19" ht="368.25" customHeight="1" x14ac:dyDescent="0.25">
      <c r="A18" s="162" t="s">
        <v>39</v>
      </c>
      <c r="B18" s="157" t="s">
        <v>219</v>
      </c>
      <c r="C18" s="165"/>
      <c r="D18" s="164" t="s">
        <v>381</v>
      </c>
      <c r="E18" s="159" t="s">
        <v>268</v>
      </c>
      <c r="F18" s="159" t="s">
        <v>269</v>
      </c>
      <c r="G18" s="159" t="s">
        <v>268</v>
      </c>
      <c r="H18" s="158">
        <v>44196</v>
      </c>
      <c r="I18" s="160">
        <v>37</v>
      </c>
      <c r="J18" s="160">
        <v>37</v>
      </c>
      <c r="K18" s="160">
        <v>33.1</v>
      </c>
      <c r="L18" s="160">
        <f>70.1-J18</f>
        <v>33.099999999999994</v>
      </c>
      <c r="M18" s="160">
        <v>33</v>
      </c>
      <c r="N18" s="160">
        <f>103.1-L18-J18</f>
        <v>33</v>
      </c>
      <c r="O18" s="160">
        <v>175.1</v>
      </c>
      <c r="P18" s="160">
        <f>134.7-N18-L18-J18</f>
        <v>31.599999999999994</v>
      </c>
      <c r="Q18" s="157" t="s">
        <v>499</v>
      </c>
      <c r="R18" s="48"/>
      <c r="S18" s="48"/>
    </row>
    <row r="19" spans="1:19" ht="301.5" customHeight="1" x14ac:dyDescent="0.25">
      <c r="A19" s="162" t="s">
        <v>41</v>
      </c>
      <c r="B19" s="157" t="s">
        <v>220</v>
      </c>
      <c r="C19" s="165"/>
      <c r="D19" s="164" t="s">
        <v>382</v>
      </c>
      <c r="E19" s="159" t="s">
        <v>268</v>
      </c>
      <c r="F19" s="159" t="s">
        <v>269</v>
      </c>
      <c r="G19" s="159" t="s">
        <v>268</v>
      </c>
      <c r="H19" s="158">
        <v>44196</v>
      </c>
      <c r="I19" s="160">
        <v>626799.5</v>
      </c>
      <c r="J19" s="160">
        <v>634065.4</v>
      </c>
      <c r="K19" s="160">
        <v>644295.1</v>
      </c>
      <c r="L19" s="160">
        <f>1294606.6-'План реализации'!J19</f>
        <v>660541.20000000007</v>
      </c>
      <c r="M19" s="160">
        <v>659183.80000000005</v>
      </c>
      <c r="N19" s="160">
        <f>1954596.7-L19-J19</f>
        <v>659990.1</v>
      </c>
      <c r="O19" s="160">
        <v>774707.19999999995</v>
      </c>
      <c r="P19" s="160">
        <f>2642309.2-N19-L19-J19</f>
        <v>687712.49999999988</v>
      </c>
      <c r="Q19" s="157" t="s">
        <v>502</v>
      </c>
      <c r="R19" s="48"/>
      <c r="S19" s="48"/>
    </row>
    <row r="20" spans="1:19" ht="409.5" customHeight="1" x14ac:dyDescent="0.25">
      <c r="A20" s="162" t="s">
        <v>43</v>
      </c>
      <c r="B20" s="157" t="s">
        <v>221</v>
      </c>
      <c r="C20" s="165"/>
      <c r="D20" s="164" t="s">
        <v>383</v>
      </c>
      <c r="E20" s="159" t="s">
        <v>268</v>
      </c>
      <c r="F20" s="159" t="s">
        <v>269</v>
      </c>
      <c r="G20" s="159" t="s">
        <v>268</v>
      </c>
      <c r="H20" s="158">
        <v>44196</v>
      </c>
      <c r="I20" s="160">
        <v>396560.4</v>
      </c>
      <c r="J20" s="160">
        <v>396971.4</v>
      </c>
      <c r="K20" s="160">
        <v>246633.2</v>
      </c>
      <c r="L20" s="160">
        <f>643275.4-J20</f>
        <v>246304</v>
      </c>
      <c r="M20" s="160">
        <v>219845.1</v>
      </c>
      <c r="N20" s="160">
        <f>863125.5-L20-J20</f>
        <v>219850.09999999998</v>
      </c>
      <c r="O20" s="160">
        <v>586658.30000000005</v>
      </c>
      <c r="P20" s="160">
        <f>1426486.5-N20-L20-J20</f>
        <v>563360.99999999988</v>
      </c>
      <c r="Q20" s="157" t="s">
        <v>452</v>
      </c>
      <c r="R20" s="48"/>
      <c r="S20" s="48"/>
    </row>
    <row r="21" spans="1:19" ht="321.75" customHeight="1" x14ac:dyDescent="0.25">
      <c r="A21" s="162" t="s">
        <v>45</v>
      </c>
      <c r="B21" s="157" t="s">
        <v>354</v>
      </c>
      <c r="C21" s="165"/>
      <c r="D21" s="164" t="s">
        <v>384</v>
      </c>
      <c r="E21" s="159" t="s">
        <v>268</v>
      </c>
      <c r="F21" s="159" t="s">
        <v>269</v>
      </c>
      <c r="G21" s="159" t="s">
        <v>268</v>
      </c>
      <c r="H21" s="158">
        <v>44196</v>
      </c>
      <c r="I21" s="160">
        <v>1047129.9</v>
      </c>
      <c r="J21" s="160">
        <v>1064035.8</v>
      </c>
      <c r="K21" s="160">
        <v>795609.2</v>
      </c>
      <c r="L21" s="160">
        <f>1860997.6-J21</f>
        <v>796961.8</v>
      </c>
      <c r="M21" s="160">
        <v>530873.1</v>
      </c>
      <c r="N21" s="160">
        <f>2411909.7-L21-J21</f>
        <v>550912.10000000009</v>
      </c>
      <c r="O21" s="160">
        <v>1288974.1000000001</v>
      </c>
      <c r="P21" s="160">
        <f>3573733.9-N21-L21-J21</f>
        <v>1161824.2</v>
      </c>
      <c r="Q21" s="157" t="s">
        <v>453</v>
      </c>
      <c r="R21" s="57"/>
      <c r="S21" s="57"/>
    </row>
    <row r="22" spans="1:19" ht="375.75" customHeight="1" x14ac:dyDescent="0.25">
      <c r="A22" s="119" t="s">
        <v>46</v>
      </c>
      <c r="B22" s="157" t="s">
        <v>222</v>
      </c>
      <c r="C22" s="165"/>
      <c r="D22" s="164" t="s">
        <v>385</v>
      </c>
      <c r="E22" s="158">
        <v>43839</v>
      </c>
      <c r="F22" s="159" t="s">
        <v>269</v>
      </c>
      <c r="G22" s="158">
        <v>43839</v>
      </c>
      <c r="H22" s="158">
        <v>44196</v>
      </c>
      <c r="I22" s="160">
        <v>4941.5</v>
      </c>
      <c r="J22" s="160">
        <v>5072.3</v>
      </c>
      <c r="K22" s="160">
        <v>4890.6000000000004</v>
      </c>
      <c r="L22" s="160">
        <f>9969-J22</f>
        <v>4896.7</v>
      </c>
      <c r="M22" s="160">
        <v>5268.2</v>
      </c>
      <c r="N22" s="160">
        <f>(6022.7+9296.2)-L22-J22</f>
        <v>5349.9000000000005</v>
      </c>
      <c r="O22" s="160">
        <v>5630.9</v>
      </c>
      <c r="P22" s="160">
        <f>20701.4-N22-L22-J22</f>
        <v>5382.4999999999991</v>
      </c>
      <c r="Q22" s="157" t="s">
        <v>503</v>
      </c>
      <c r="R22" s="48"/>
      <c r="S22" s="48"/>
    </row>
    <row r="23" spans="1:19" ht="409.5" customHeight="1" x14ac:dyDescent="0.25">
      <c r="A23" s="119" t="s">
        <v>47</v>
      </c>
      <c r="B23" s="157" t="s">
        <v>353</v>
      </c>
      <c r="C23" s="165"/>
      <c r="D23" s="164" t="s">
        <v>386</v>
      </c>
      <c r="E23" s="158">
        <v>43839</v>
      </c>
      <c r="F23" s="159" t="s">
        <v>269</v>
      </c>
      <c r="G23" s="158">
        <v>43839</v>
      </c>
      <c r="H23" s="158">
        <v>44196</v>
      </c>
      <c r="I23" s="160">
        <v>1130005.5</v>
      </c>
      <c r="J23" s="160">
        <v>1141620.3999999999</v>
      </c>
      <c r="K23" s="160">
        <v>824386</v>
      </c>
      <c r="L23" s="160">
        <f>1971856.8-J23</f>
        <v>830236.40000000014</v>
      </c>
      <c r="M23" s="160">
        <v>666074.1</v>
      </c>
      <c r="N23" s="160">
        <f>2657865.2-L23-J23</f>
        <v>686008.40000000014</v>
      </c>
      <c r="O23" s="160">
        <v>1356176.6</v>
      </c>
      <c r="P23" s="160">
        <f>3909634.7-N23-L23-J23</f>
        <v>1251769.4999999995</v>
      </c>
      <c r="Q23" s="157" t="s">
        <v>504</v>
      </c>
      <c r="R23" s="48"/>
      <c r="S23" s="48"/>
    </row>
    <row r="24" spans="1:19" ht="276.75" customHeight="1" x14ac:dyDescent="0.25">
      <c r="A24" s="300" t="s">
        <v>48</v>
      </c>
      <c r="B24" s="297" t="s">
        <v>223</v>
      </c>
      <c r="C24" s="301"/>
      <c r="D24" s="302" t="s">
        <v>387</v>
      </c>
      <c r="E24" s="308" t="s">
        <v>268</v>
      </c>
      <c r="F24" s="308" t="s">
        <v>269</v>
      </c>
      <c r="G24" s="308" t="s">
        <v>268</v>
      </c>
      <c r="H24" s="299">
        <v>44196</v>
      </c>
      <c r="I24" s="298">
        <v>1286.5</v>
      </c>
      <c r="J24" s="298">
        <v>1286.5</v>
      </c>
      <c r="K24" s="298">
        <v>1290.9000000000001</v>
      </c>
      <c r="L24" s="298">
        <f>2960.8-J24</f>
        <v>1674.3000000000002</v>
      </c>
      <c r="M24" s="298">
        <v>1260.0999999999999</v>
      </c>
      <c r="N24" s="298">
        <f>3837.5-L24-J24</f>
        <v>876.69999999999982</v>
      </c>
      <c r="O24" s="298">
        <v>1815</v>
      </c>
      <c r="P24" s="298">
        <f>5109.1-N24-L24-J24</f>
        <v>1271.6000000000004</v>
      </c>
      <c r="Q24" s="297" t="s">
        <v>454</v>
      </c>
      <c r="R24" s="48"/>
      <c r="S24" s="48"/>
    </row>
    <row r="25" spans="1:19" ht="108" hidden="1" customHeight="1" x14ac:dyDescent="0.25">
      <c r="A25" s="300"/>
      <c r="B25" s="297"/>
      <c r="C25" s="301"/>
      <c r="D25" s="302"/>
      <c r="E25" s="308"/>
      <c r="F25" s="308"/>
      <c r="G25" s="308"/>
      <c r="H25" s="308"/>
      <c r="I25" s="298"/>
      <c r="J25" s="298"/>
      <c r="K25" s="298"/>
      <c r="L25" s="298"/>
      <c r="M25" s="298"/>
      <c r="N25" s="298"/>
      <c r="O25" s="298"/>
      <c r="P25" s="298"/>
      <c r="Q25" s="297"/>
      <c r="R25" s="48"/>
      <c r="S25" s="48"/>
    </row>
    <row r="26" spans="1:19" ht="408.75" customHeight="1" x14ac:dyDescent="0.25">
      <c r="A26" s="109" t="s">
        <v>49</v>
      </c>
      <c r="B26" s="157" t="s">
        <v>300</v>
      </c>
      <c r="C26" s="157"/>
      <c r="D26" s="164" t="s">
        <v>388</v>
      </c>
      <c r="E26" s="159" t="s">
        <v>268</v>
      </c>
      <c r="F26" s="159" t="s">
        <v>269</v>
      </c>
      <c r="G26" s="159" t="s">
        <v>268</v>
      </c>
      <c r="H26" s="158">
        <v>44196</v>
      </c>
      <c r="I26" s="160">
        <v>2817.2</v>
      </c>
      <c r="J26" s="160">
        <v>2826.3</v>
      </c>
      <c r="K26" s="160">
        <v>2828.9</v>
      </c>
      <c r="L26" s="160">
        <f>6352-J26</f>
        <v>3525.7</v>
      </c>
      <c r="M26" s="160">
        <v>2708.1</v>
      </c>
      <c r="N26" s="160">
        <f>8354.2-L26-J26</f>
        <v>2002.2000000000007</v>
      </c>
      <c r="O26" s="160">
        <v>3921.2</v>
      </c>
      <c r="P26" s="160">
        <f>11070.1-N26-L26-J26</f>
        <v>2715.8999999999996</v>
      </c>
      <c r="Q26" s="157" t="s">
        <v>499</v>
      </c>
      <c r="R26" s="65"/>
      <c r="S26" s="65"/>
    </row>
    <row r="27" spans="1:19" ht="330" customHeight="1" x14ac:dyDescent="0.25">
      <c r="A27" s="162" t="s">
        <v>50</v>
      </c>
      <c r="B27" s="157" t="s">
        <v>224</v>
      </c>
      <c r="C27" s="165"/>
      <c r="D27" s="164" t="s">
        <v>389</v>
      </c>
      <c r="E27" s="159" t="s">
        <v>268</v>
      </c>
      <c r="F27" s="159" t="s">
        <v>269</v>
      </c>
      <c r="G27" s="159" t="s">
        <v>268</v>
      </c>
      <c r="H27" s="158">
        <v>44196</v>
      </c>
      <c r="I27" s="160">
        <v>622.70000000000005</v>
      </c>
      <c r="J27" s="160">
        <v>698.7</v>
      </c>
      <c r="K27" s="160">
        <v>933.1</v>
      </c>
      <c r="L27" s="160">
        <f>1560.5-J27</f>
        <v>861.8</v>
      </c>
      <c r="M27" s="160">
        <v>114.4</v>
      </c>
      <c r="N27" s="160">
        <f>1670.2-L27-J27</f>
        <v>109.70000000000005</v>
      </c>
      <c r="O27" s="160">
        <v>770.9</v>
      </c>
      <c r="P27" s="160">
        <f>1831.9-N27-L27-J27</f>
        <v>161.70000000000005</v>
      </c>
      <c r="Q27" s="157" t="s">
        <v>518</v>
      </c>
      <c r="R27" s="48"/>
      <c r="S27" s="48"/>
    </row>
    <row r="28" spans="1:19" ht="310.5" customHeight="1" x14ac:dyDescent="0.25">
      <c r="A28" s="162" t="s">
        <v>53</v>
      </c>
      <c r="B28" s="157" t="s">
        <v>272</v>
      </c>
      <c r="C28" s="165"/>
      <c r="D28" s="164" t="s">
        <v>388</v>
      </c>
      <c r="E28" s="159" t="s">
        <v>268</v>
      </c>
      <c r="F28" s="159" t="s">
        <v>269</v>
      </c>
      <c r="G28" s="159" t="s">
        <v>268</v>
      </c>
      <c r="H28" s="158">
        <v>44196</v>
      </c>
      <c r="I28" s="160">
        <v>21.5</v>
      </c>
      <c r="J28" s="160">
        <v>21.5</v>
      </c>
      <c r="K28" s="160">
        <v>8</v>
      </c>
      <c r="L28" s="160">
        <f>29.5-J28</f>
        <v>8</v>
      </c>
      <c r="M28" s="160">
        <v>10.5</v>
      </c>
      <c r="N28" s="160">
        <f>40-L28-J28</f>
        <v>10.5</v>
      </c>
      <c r="O28" s="160">
        <v>14.7</v>
      </c>
      <c r="P28" s="160">
        <f>49.3-N28-L28-J28</f>
        <v>9.2999999999999972</v>
      </c>
      <c r="Q28" s="157" t="s">
        <v>505</v>
      </c>
      <c r="R28" s="48"/>
      <c r="S28" s="48"/>
    </row>
    <row r="29" spans="1:19" ht="315" customHeight="1" x14ac:dyDescent="0.25">
      <c r="A29" s="162" t="s">
        <v>54</v>
      </c>
      <c r="B29" s="157" t="s">
        <v>355</v>
      </c>
      <c r="C29" s="165"/>
      <c r="D29" s="164" t="s">
        <v>388</v>
      </c>
      <c r="E29" s="159" t="s">
        <v>270</v>
      </c>
      <c r="F29" s="64" t="s">
        <v>269</v>
      </c>
      <c r="G29" s="159" t="s">
        <v>270</v>
      </c>
      <c r="H29" s="158">
        <v>44196</v>
      </c>
      <c r="I29" s="160">
        <v>475.6</v>
      </c>
      <c r="J29" s="160">
        <v>475.6</v>
      </c>
      <c r="K29" s="160">
        <v>89.7</v>
      </c>
      <c r="L29" s="160">
        <f>565.3-J29</f>
        <v>89.699999999999932</v>
      </c>
      <c r="M29" s="160">
        <v>134.4</v>
      </c>
      <c r="N29" s="160">
        <f>722.9-L29-J29</f>
        <v>157.60000000000002</v>
      </c>
      <c r="O29" s="160">
        <v>703</v>
      </c>
      <c r="P29" s="160">
        <f>1185.7-N29-L29-J29</f>
        <v>462.79999999999995</v>
      </c>
      <c r="Q29" s="157" t="s">
        <v>506</v>
      </c>
      <c r="R29" s="48"/>
      <c r="S29" s="48"/>
    </row>
    <row r="30" spans="1:19" ht="387" customHeight="1" x14ac:dyDescent="0.25">
      <c r="A30" s="300" t="s">
        <v>55</v>
      </c>
      <c r="B30" s="297" t="s">
        <v>321</v>
      </c>
      <c r="C30" s="301"/>
      <c r="D30" s="302" t="s">
        <v>388</v>
      </c>
      <c r="E30" s="308" t="s">
        <v>270</v>
      </c>
      <c r="F30" s="308" t="s">
        <v>269</v>
      </c>
      <c r="G30" s="308" t="s">
        <v>270</v>
      </c>
      <c r="H30" s="313">
        <v>44196</v>
      </c>
      <c r="I30" s="298">
        <v>357.6</v>
      </c>
      <c r="J30" s="298">
        <v>357.6</v>
      </c>
      <c r="K30" s="298">
        <v>294.89999999999998</v>
      </c>
      <c r="L30" s="298">
        <f>657.1-J30</f>
        <v>299.5</v>
      </c>
      <c r="M30" s="298">
        <v>375.5</v>
      </c>
      <c r="N30" s="298">
        <f>1028-L30-J30</f>
        <v>370.9</v>
      </c>
      <c r="O30" s="298">
        <v>524</v>
      </c>
      <c r="P30" s="298">
        <f>1396.3-N30-L30-J30</f>
        <v>368.30000000000007</v>
      </c>
      <c r="Q30" s="297" t="s">
        <v>507</v>
      </c>
      <c r="R30" s="48"/>
      <c r="S30" s="48"/>
    </row>
    <row r="31" spans="1:19" ht="100.5" customHeight="1" x14ac:dyDescent="0.25">
      <c r="A31" s="300"/>
      <c r="B31" s="297"/>
      <c r="C31" s="301"/>
      <c r="D31" s="302"/>
      <c r="E31" s="308"/>
      <c r="F31" s="308"/>
      <c r="G31" s="308"/>
      <c r="H31" s="314"/>
      <c r="I31" s="298"/>
      <c r="J31" s="298"/>
      <c r="K31" s="298"/>
      <c r="L31" s="298"/>
      <c r="M31" s="298"/>
      <c r="N31" s="298"/>
      <c r="O31" s="298"/>
      <c r="P31" s="298"/>
      <c r="Q31" s="297"/>
      <c r="R31" s="48"/>
      <c r="S31" s="48"/>
    </row>
    <row r="32" spans="1:19" ht="204" customHeight="1" x14ac:dyDescent="0.25">
      <c r="A32" s="162" t="s">
        <v>56</v>
      </c>
      <c r="B32" s="157" t="s">
        <v>301</v>
      </c>
      <c r="C32" s="165"/>
      <c r="D32" s="164" t="s">
        <v>390</v>
      </c>
      <c r="E32" s="159" t="s">
        <v>268</v>
      </c>
      <c r="F32" s="159" t="s">
        <v>269</v>
      </c>
      <c r="G32" s="159" t="s">
        <v>268</v>
      </c>
      <c r="H32" s="158">
        <v>44196</v>
      </c>
      <c r="I32" s="160">
        <v>8824.9</v>
      </c>
      <c r="J32" s="160">
        <v>9067.2000000000007</v>
      </c>
      <c r="K32" s="160">
        <v>4384.2</v>
      </c>
      <c r="L32" s="160">
        <f>13687.8-J32</f>
        <v>4620.5999999999985</v>
      </c>
      <c r="M32" s="160">
        <v>11735.8</v>
      </c>
      <c r="N32" s="160">
        <f>25756-L32-J32</f>
        <v>12068.2</v>
      </c>
      <c r="O32" s="160">
        <v>13138.4</v>
      </c>
      <c r="P32" s="160">
        <f>37134.2-N32-L32-J32</f>
        <v>11378.199999999997</v>
      </c>
      <c r="Q32" s="135" t="s">
        <v>450</v>
      </c>
      <c r="R32" s="48"/>
      <c r="S32" s="48"/>
    </row>
    <row r="33" spans="1:19" ht="123.75" customHeight="1" x14ac:dyDescent="0.25">
      <c r="A33" s="162" t="s">
        <v>58</v>
      </c>
      <c r="B33" s="157" t="s">
        <v>225</v>
      </c>
      <c r="C33" s="165"/>
      <c r="D33" s="164" t="s">
        <v>388</v>
      </c>
      <c r="E33" s="158">
        <v>44105</v>
      </c>
      <c r="F33" s="159" t="s">
        <v>269</v>
      </c>
      <c r="G33" s="158">
        <v>44105</v>
      </c>
      <c r="H33" s="168">
        <v>44196</v>
      </c>
      <c r="I33" s="160">
        <v>0</v>
      </c>
      <c r="J33" s="160">
        <v>0</v>
      </c>
      <c r="K33" s="160">
        <v>0</v>
      </c>
      <c r="L33" s="160">
        <v>0</v>
      </c>
      <c r="M33" s="160">
        <v>0</v>
      </c>
      <c r="N33" s="160">
        <v>0</v>
      </c>
      <c r="O33" s="160">
        <v>6.9</v>
      </c>
      <c r="P33" s="160">
        <f>0-N33-L33-J33</f>
        <v>0</v>
      </c>
      <c r="Q33" s="157" t="s">
        <v>450</v>
      </c>
      <c r="R33" s="48"/>
      <c r="S33" s="48"/>
    </row>
    <row r="34" spans="1:19" ht="258" customHeight="1" x14ac:dyDescent="0.25">
      <c r="A34" s="162" t="s">
        <v>60</v>
      </c>
      <c r="B34" s="157" t="s">
        <v>226</v>
      </c>
      <c r="C34" s="165"/>
      <c r="D34" s="164" t="s">
        <v>388</v>
      </c>
      <c r="E34" s="158">
        <v>43922</v>
      </c>
      <c r="F34" s="158">
        <v>44196</v>
      </c>
      <c r="G34" s="158">
        <v>43922</v>
      </c>
      <c r="H34" s="158">
        <v>44196</v>
      </c>
      <c r="I34" s="160">
        <v>0</v>
      </c>
      <c r="J34" s="160">
        <v>0</v>
      </c>
      <c r="K34" s="160">
        <v>15</v>
      </c>
      <c r="L34" s="160">
        <v>15</v>
      </c>
      <c r="M34" s="160">
        <v>0</v>
      </c>
      <c r="N34" s="160">
        <v>0</v>
      </c>
      <c r="O34" s="160">
        <v>182.5</v>
      </c>
      <c r="P34" s="160">
        <f>15-N34-L34-J34</f>
        <v>0</v>
      </c>
      <c r="Q34" s="135" t="s">
        <v>519</v>
      </c>
      <c r="R34" s="48"/>
      <c r="S34" s="48"/>
    </row>
    <row r="35" spans="1:19" ht="408.75" customHeight="1" x14ac:dyDescent="0.25">
      <c r="A35" s="162" t="s">
        <v>62</v>
      </c>
      <c r="B35" s="157" t="s">
        <v>356</v>
      </c>
      <c r="C35" s="165"/>
      <c r="D35" s="164" t="s">
        <v>388</v>
      </c>
      <c r="E35" s="158">
        <v>43839</v>
      </c>
      <c r="F35" s="158">
        <v>44196</v>
      </c>
      <c r="G35" s="158">
        <v>43839</v>
      </c>
      <c r="H35" s="158">
        <v>44196</v>
      </c>
      <c r="I35" s="160">
        <v>312419.8</v>
      </c>
      <c r="J35" s="160">
        <v>312501.5</v>
      </c>
      <c r="K35" s="160">
        <v>1651.2</v>
      </c>
      <c r="L35" s="160">
        <f>314085.5-J35</f>
        <v>1584</v>
      </c>
      <c r="M35" s="160">
        <v>1917.4</v>
      </c>
      <c r="N35" s="160">
        <f>315944.4-L35-J35</f>
        <v>1858.9000000000233</v>
      </c>
      <c r="O35" s="160">
        <v>9333.2000000000007</v>
      </c>
      <c r="P35" s="160">
        <f>318960.3-N35-L35-J35</f>
        <v>3015.8999999999651</v>
      </c>
      <c r="Q35" s="136" t="s">
        <v>455</v>
      </c>
      <c r="R35" s="48"/>
      <c r="S35" s="48"/>
    </row>
    <row r="36" spans="1:19" ht="252" customHeight="1" x14ac:dyDescent="0.25">
      <c r="A36" s="300" t="s">
        <v>63</v>
      </c>
      <c r="B36" s="297" t="s">
        <v>357</v>
      </c>
      <c r="C36" s="301"/>
      <c r="D36" s="302" t="s">
        <v>388</v>
      </c>
      <c r="E36" s="299">
        <v>43839</v>
      </c>
      <c r="F36" s="299">
        <v>44196</v>
      </c>
      <c r="G36" s="299">
        <v>43839</v>
      </c>
      <c r="H36" s="299">
        <v>44196</v>
      </c>
      <c r="I36" s="298">
        <v>24468.6</v>
      </c>
      <c r="J36" s="298">
        <v>24468.6</v>
      </c>
      <c r="K36" s="298">
        <v>24118.799999999999</v>
      </c>
      <c r="L36" s="298">
        <f>56028.3-J36</f>
        <v>31559.700000000004</v>
      </c>
      <c r="M36" s="298">
        <v>23846.799999999999</v>
      </c>
      <c r="N36" s="298">
        <f>72434.3-L36-J36</f>
        <v>16406</v>
      </c>
      <c r="O36" s="298">
        <v>25250.6</v>
      </c>
      <c r="P36" s="298">
        <f>96389.5-N36-L36-J36</f>
        <v>23955.199999999997</v>
      </c>
      <c r="Q36" s="297" t="s">
        <v>455</v>
      </c>
      <c r="R36" s="48"/>
      <c r="S36" s="48"/>
    </row>
    <row r="37" spans="1:19" ht="102.75" customHeight="1" x14ac:dyDescent="0.25">
      <c r="A37" s="300"/>
      <c r="B37" s="297"/>
      <c r="C37" s="301"/>
      <c r="D37" s="302"/>
      <c r="E37" s="308"/>
      <c r="F37" s="308"/>
      <c r="G37" s="299"/>
      <c r="H37" s="308"/>
      <c r="I37" s="298"/>
      <c r="J37" s="298"/>
      <c r="K37" s="298"/>
      <c r="L37" s="298"/>
      <c r="M37" s="298"/>
      <c r="N37" s="298"/>
      <c r="O37" s="298">
        <v>0</v>
      </c>
      <c r="P37" s="298"/>
      <c r="Q37" s="297"/>
      <c r="R37" s="48"/>
      <c r="S37" s="48"/>
    </row>
    <row r="38" spans="1:19" ht="339" customHeight="1" x14ac:dyDescent="0.25">
      <c r="A38" s="162" t="s">
        <v>64</v>
      </c>
      <c r="B38" s="157" t="s">
        <v>358</v>
      </c>
      <c r="C38" s="165"/>
      <c r="D38" s="164" t="s">
        <v>391</v>
      </c>
      <c r="E38" s="158">
        <v>43839</v>
      </c>
      <c r="F38" s="158">
        <v>44196</v>
      </c>
      <c r="G38" s="158">
        <v>43839</v>
      </c>
      <c r="H38" s="167">
        <v>44196</v>
      </c>
      <c r="I38" s="160">
        <v>80.099999999999994</v>
      </c>
      <c r="J38" s="160">
        <v>80.099999999999994</v>
      </c>
      <c r="K38" s="160">
        <v>87.5</v>
      </c>
      <c r="L38" s="160">
        <f>167.6-J38</f>
        <v>87.5</v>
      </c>
      <c r="M38" s="160">
        <v>56.4</v>
      </c>
      <c r="N38" s="160">
        <f>224.4-L38-J38</f>
        <v>56.800000000000011</v>
      </c>
      <c r="O38" s="160">
        <v>1256.5999999999999</v>
      </c>
      <c r="P38" s="160">
        <f>1355.9-N38-L38-J38</f>
        <v>1131.5000000000002</v>
      </c>
      <c r="Q38" s="157" t="s">
        <v>446</v>
      </c>
      <c r="R38" s="48"/>
      <c r="S38" s="48"/>
    </row>
    <row r="39" spans="1:19" ht="365.25" customHeight="1" x14ac:dyDescent="0.25">
      <c r="A39" s="162" t="s">
        <v>65</v>
      </c>
      <c r="B39" s="157" t="s">
        <v>302</v>
      </c>
      <c r="C39" s="165"/>
      <c r="D39" s="164" t="s">
        <v>388</v>
      </c>
      <c r="E39" s="158">
        <v>43839</v>
      </c>
      <c r="F39" s="158">
        <v>44196</v>
      </c>
      <c r="G39" s="158">
        <v>43839</v>
      </c>
      <c r="H39" s="167">
        <v>44196</v>
      </c>
      <c r="I39" s="160">
        <v>4381</v>
      </c>
      <c r="J39" s="160">
        <v>4381</v>
      </c>
      <c r="K39" s="160">
        <v>4380.6000000000004</v>
      </c>
      <c r="L39" s="160">
        <f>9188.3-J39</f>
        <v>4807.2999999999993</v>
      </c>
      <c r="M39" s="160">
        <v>4259.7</v>
      </c>
      <c r="N39" s="160">
        <f>13021.3-L39-J39</f>
        <v>3833</v>
      </c>
      <c r="O39" s="160">
        <v>4517.8999999999996</v>
      </c>
      <c r="P39" s="160">
        <f>17158.7-N39-L39-J39</f>
        <v>4137.4000000000015</v>
      </c>
      <c r="Q39" s="136" t="s">
        <v>508</v>
      </c>
      <c r="R39" s="48"/>
      <c r="S39" s="48"/>
    </row>
    <row r="40" spans="1:19" ht="287.25" customHeight="1" x14ac:dyDescent="0.25">
      <c r="A40" s="162" t="s">
        <v>66</v>
      </c>
      <c r="B40" s="157" t="s">
        <v>303</v>
      </c>
      <c r="C40" s="165"/>
      <c r="D40" s="164" t="s">
        <v>392</v>
      </c>
      <c r="E40" s="159" t="s">
        <v>271</v>
      </c>
      <c r="F40" s="159" t="s">
        <v>269</v>
      </c>
      <c r="G40" s="158">
        <v>43839</v>
      </c>
      <c r="H40" s="167">
        <v>44196</v>
      </c>
      <c r="I40" s="160">
        <v>27.6</v>
      </c>
      <c r="J40" s="160">
        <v>27.6</v>
      </c>
      <c r="K40" s="160">
        <v>86.8</v>
      </c>
      <c r="L40" s="160">
        <f>125.6-J40</f>
        <v>98</v>
      </c>
      <c r="M40" s="160">
        <v>23.4</v>
      </c>
      <c r="N40" s="160">
        <f>137.8-L40-J40</f>
        <v>12.20000000000001</v>
      </c>
      <c r="O40" s="160">
        <v>71.8</v>
      </c>
      <c r="P40" s="160">
        <f>188-N40-L40-J40</f>
        <v>50.199999999999982</v>
      </c>
      <c r="Q40" s="136" t="s">
        <v>510</v>
      </c>
      <c r="R40" s="48"/>
      <c r="S40" s="48"/>
    </row>
    <row r="41" spans="1:19" ht="336" customHeight="1" x14ac:dyDescent="0.25">
      <c r="A41" s="162" t="s">
        <v>67</v>
      </c>
      <c r="B41" s="157" t="s">
        <v>227</v>
      </c>
      <c r="C41" s="165"/>
      <c r="D41" s="164" t="s">
        <v>389</v>
      </c>
      <c r="E41" s="158">
        <v>43839</v>
      </c>
      <c r="F41" s="158">
        <v>44196</v>
      </c>
      <c r="G41" s="158">
        <v>43839</v>
      </c>
      <c r="H41" s="167">
        <v>44196</v>
      </c>
      <c r="I41" s="160">
        <v>11785</v>
      </c>
      <c r="J41" s="160">
        <v>11785</v>
      </c>
      <c r="K41" s="160">
        <v>11179.3</v>
      </c>
      <c r="L41" s="160">
        <f>25876.6-J41</f>
        <v>14091.599999999999</v>
      </c>
      <c r="M41" s="160">
        <v>11978</v>
      </c>
      <c r="N41" s="160">
        <f>34942.3-L41-J41</f>
        <v>9065.7000000000044</v>
      </c>
      <c r="O41" s="160">
        <v>12036.2</v>
      </c>
      <c r="P41" s="160">
        <f>46065.8-N41-L41-J41</f>
        <v>11123.5</v>
      </c>
      <c r="Q41" s="157" t="s">
        <v>511</v>
      </c>
      <c r="R41" s="48"/>
      <c r="S41" s="48"/>
    </row>
    <row r="42" spans="1:19" ht="18.75" customHeight="1" x14ac:dyDescent="0.25">
      <c r="A42" s="300" t="s">
        <v>68</v>
      </c>
      <c r="B42" s="297" t="s">
        <v>359</v>
      </c>
      <c r="C42" s="297"/>
      <c r="D42" s="297" t="s">
        <v>393</v>
      </c>
      <c r="E42" s="299">
        <v>43839</v>
      </c>
      <c r="F42" s="299">
        <v>44196</v>
      </c>
      <c r="G42" s="299">
        <v>43839</v>
      </c>
      <c r="H42" s="171">
        <v>44196</v>
      </c>
      <c r="I42" s="298">
        <v>382153.7</v>
      </c>
      <c r="J42" s="298">
        <v>385639.6</v>
      </c>
      <c r="K42" s="298">
        <v>238002.5</v>
      </c>
      <c r="L42" s="298">
        <f>620260-J42</f>
        <v>234620.40000000002</v>
      </c>
      <c r="M42" s="298">
        <v>308371.3</v>
      </c>
      <c r="N42" s="298">
        <f>930470.3-L42-J42</f>
        <v>310210.30000000005</v>
      </c>
      <c r="O42" s="298">
        <v>398237.2</v>
      </c>
      <c r="P42" s="298">
        <f>1282761.5-N42-L42-J42</f>
        <v>352291.19999999995</v>
      </c>
      <c r="Q42" s="322" t="s">
        <v>446</v>
      </c>
      <c r="R42" s="48"/>
      <c r="S42" s="48"/>
    </row>
    <row r="43" spans="1:19" ht="408.75" customHeight="1" x14ac:dyDescent="0.25">
      <c r="A43" s="300"/>
      <c r="B43" s="297"/>
      <c r="C43" s="297"/>
      <c r="D43" s="297"/>
      <c r="E43" s="299"/>
      <c r="F43" s="299"/>
      <c r="G43" s="299"/>
      <c r="H43" s="171"/>
      <c r="I43" s="298"/>
      <c r="J43" s="298"/>
      <c r="K43" s="298"/>
      <c r="L43" s="298"/>
      <c r="M43" s="298"/>
      <c r="N43" s="298"/>
      <c r="O43" s="298"/>
      <c r="P43" s="298"/>
      <c r="Q43" s="323"/>
      <c r="R43" s="48"/>
      <c r="S43" s="48"/>
    </row>
    <row r="44" spans="1:19" ht="409.5" customHeight="1" x14ac:dyDescent="0.25">
      <c r="A44" s="300"/>
      <c r="B44" s="297"/>
      <c r="C44" s="297"/>
      <c r="D44" s="297"/>
      <c r="E44" s="299"/>
      <c r="F44" s="299"/>
      <c r="G44" s="299"/>
      <c r="H44" s="171"/>
      <c r="I44" s="298"/>
      <c r="J44" s="298"/>
      <c r="K44" s="298"/>
      <c r="L44" s="298"/>
      <c r="M44" s="298"/>
      <c r="N44" s="298"/>
      <c r="O44" s="298"/>
      <c r="P44" s="298"/>
      <c r="Q44" s="135"/>
      <c r="R44" s="48"/>
      <c r="S44" s="48"/>
    </row>
    <row r="45" spans="1:19" ht="390.75" customHeight="1" x14ac:dyDescent="0.25">
      <c r="A45" s="162" t="s">
        <v>70</v>
      </c>
      <c r="B45" s="157" t="s">
        <v>360</v>
      </c>
      <c r="C45" s="165"/>
      <c r="D45" s="164" t="s">
        <v>394</v>
      </c>
      <c r="E45" s="158">
        <v>43839</v>
      </c>
      <c r="F45" s="158">
        <v>44196</v>
      </c>
      <c r="G45" s="158">
        <v>43839</v>
      </c>
      <c r="H45" s="158">
        <v>44196</v>
      </c>
      <c r="I45" s="160">
        <v>1322.3</v>
      </c>
      <c r="J45" s="160">
        <v>1322.3</v>
      </c>
      <c r="K45" s="160">
        <v>601.29999999999995</v>
      </c>
      <c r="L45" s="160">
        <f>1923.6-J45</f>
        <v>601.29999999999995</v>
      </c>
      <c r="M45" s="160">
        <v>1181.9000000000001</v>
      </c>
      <c r="N45" s="160">
        <f>3105.5-L45-J45</f>
        <v>1181.8999999999999</v>
      </c>
      <c r="O45" s="160">
        <v>9801.5</v>
      </c>
      <c r="P45" s="160">
        <f>12906.9-N45-L45-J45</f>
        <v>9801.4000000000015</v>
      </c>
      <c r="Q45" s="135" t="s">
        <v>451</v>
      </c>
      <c r="R45" s="48"/>
      <c r="S45" s="48"/>
    </row>
    <row r="46" spans="1:19" ht="376.5" customHeight="1" x14ac:dyDescent="0.25">
      <c r="A46" s="162" t="s">
        <v>324</v>
      </c>
      <c r="B46" s="157" t="s">
        <v>323</v>
      </c>
      <c r="C46" s="165"/>
      <c r="D46" s="164" t="s">
        <v>388</v>
      </c>
      <c r="E46" s="158">
        <v>43839</v>
      </c>
      <c r="F46" s="158">
        <v>44196</v>
      </c>
      <c r="G46" s="158">
        <v>43839</v>
      </c>
      <c r="H46" s="167">
        <v>44196</v>
      </c>
      <c r="I46" s="160">
        <v>193901.3</v>
      </c>
      <c r="J46" s="160">
        <v>194768.2</v>
      </c>
      <c r="K46" s="160">
        <v>125369.7</v>
      </c>
      <c r="L46" s="160">
        <f>320177.9-J46</f>
        <v>125409.70000000001</v>
      </c>
      <c r="M46" s="160">
        <v>219990.1</v>
      </c>
      <c r="N46" s="160">
        <f>540622.7-L46-J46</f>
        <v>220444.79999999993</v>
      </c>
      <c r="O46" s="160">
        <v>243075.3</v>
      </c>
      <c r="P46" s="160">
        <f>752638.6-N46-L46-J46</f>
        <v>212015.90000000002</v>
      </c>
      <c r="Q46" s="136" t="s">
        <v>512</v>
      </c>
      <c r="R46" s="48"/>
      <c r="S46" s="48"/>
    </row>
    <row r="47" spans="1:19" ht="271.5" customHeight="1" x14ac:dyDescent="0.25">
      <c r="A47" s="162" t="s">
        <v>514</v>
      </c>
      <c r="B47" s="157" t="s">
        <v>372</v>
      </c>
      <c r="C47" s="165"/>
      <c r="D47" s="164" t="s">
        <v>388</v>
      </c>
      <c r="E47" s="158">
        <v>43839</v>
      </c>
      <c r="F47" s="158">
        <v>44013</v>
      </c>
      <c r="G47" s="158">
        <v>43839</v>
      </c>
      <c r="H47" s="167">
        <v>44196</v>
      </c>
      <c r="I47" s="160">
        <v>136.5</v>
      </c>
      <c r="J47" s="160">
        <v>136.5</v>
      </c>
      <c r="K47" s="160">
        <v>1</v>
      </c>
      <c r="L47" s="160">
        <f>137.5-J47</f>
        <v>1</v>
      </c>
      <c r="M47" s="160">
        <v>0</v>
      </c>
      <c r="N47" s="160">
        <v>0</v>
      </c>
      <c r="O47" s="160">
        <v>0.1</v>
      </c>
      <c r="P47" s="160">
        <v>0</v>
      </c>
      <c r="Q47" s="133" t="s">
        <v>513</v>
      </c>
      <c r="R47" s="48"/>
      <c r="S47" s="48"/>
    </row>
    <row r="48" spans="1:19" ht="275.25" customHeight="1" x14ac:dyDescent="0.25">
      <c r="A48" s="162" t="s">
        <v>278</v>
      </c>
      <c r="B48" s="157" t="s">
        <v>298</v>
      </c>
      <c r="C48" s="165"/>
      <c r="D48" s="164" t="s">
        <v>395</v>
      </c>
      <c r="E48" s="158">
        <v>43922</v>
      </c>
      <c r="F48" s="158">
        <v>44196</v>
      </c>
      <c r="G48" s="158">
        <v>43922</v>
      </c>
      <c r="H48" s="158"/>
      <c r="I48" s="160">
        <v>0</v>
      </c>
      <c r="J48" s="160">
        <v>0</v>
      </c>
      <c r="K48" s="160">
        <v>11973.3</v>
      </c>
      <c r="L48" s="160">
        <v>11973.3</v>
      </c>
      <c r="M48" s="160">
        <v>0</v>
      </c>
      <c r="N48" s="160">
        <v>0</v>
      </c>
      <c r="O48" s="160">
        <v>66613.399999999994</v>
      </c>
      <c r="P48" s="160">
        <f>68475.5-N48-L48-J48</f>
        <v>56502.2</v>
      </c>
      <c r="Q48" s="157" t="s">
        <v>515</v>
      </c>
      <c r="R48" s="48"/>
      <c r="S48" s="48"/>
    </row>
    <row r="49" spans="1:19" ht="260.25" customHeight="1" x14ac:dyDescent="0.25">
      <c r="A49" s="162" t="s">
        <v>73</v>
      </c>
      <c r="B49" s="157" t="s">
        <v>362</v>
      </c>
      <c r="C49" s="165"/>
      <c r="D49" s="164" t="s">
        <v>396</v>
      </c>
      <c r="E49" s="159" t="s">
        <v>273</v>
      </c>
      <c r="F49" s="158">
        <v>44012</v>
      </c>
      <c r="G49" s="159" t="s">
        <v>273</v>
      </c>
      <c r="H49" s="158">
        <v>44012</v>
      </c>
      <c r="I49" s="160">
        <v>0</v>
      </c>
      <c r="J49" s="160">
        <v>0</v>
      </c>
      <c r="K49" s="160">
        <v>56931.7</v>
      </c>
      <c r="L49" s="160">
        <v>56931.7</v>
      </c>
      <c r="M49" s="160">
        <v>0</v>
      </c>
      <c r="N49" s="160">
        <v>0</v>
      </c>
      <c r="O49" s="160">
        <v>0</v>
      </c>
      <c r="P49" s="160">
        <f>56931.7-N49-L49-J49</f>
        <v>0</v>
      </c>
      <c r="Q49" s="157"/>
      <c r="R49" s="48"/>
      <c r="S49" s="48"/>
    </row>
    <row r="50" spans="1:19" ht="278.25" customHeight="1" x14ac:dyDescent="0.25">
      <c r="A50" s="162" t="s">
        <v>74</v>
      </c>
      <c r="B50" s="157" t="s">
        <v>361</v>
      </c>
      <c r="C50" s="165"/>
      <c r="D50" s="164" t="s">
        <v>396</v>
      </c>
      <c r="E50" s="159" t="s">
        <v>273</v>
      </c>
      <c r="F50" s="158">
        <v>44012</v>
      </c>
      <c r="G50" s="159" t="s">
        <v>273</v>
      </c>
      <c r="H50" s="158">
        <v>44012</v>
      </c>
      <c r="I50" s="160">
        <v>0</v>
      </c>
      <c r="J50" s="160">
        <v>0</v>
      </c>
      <c r="K50" s="160">
        <v>36757</v>
      </c>
      <c r="L50" s="160">
        <v>36757</v>
      </c>
      <c r="M50" s="160">
        <v>0</v>
      </c>
      <c r="N50" s="160">
        <v>0</v>
      </c>
      <c r="O50" s="160">
        <v>0</v>
      </c>
      <c r="P50" s="160">
        <f>36757-N50-L50-J50</f>
        <v>0</v>
      </c>
      <c r="Q50" s="157"/>
      <c r="R50" s="48"/>
      <c r="S50" s="48"/>
    </row>
    <row r="51" spans="1:19" ht="393.75" x14ac:dyDescent="0.25">
      <c r="A51" s="162" t="s">
        <v>262</v>
      </c>
      <c r="B51" s="157" t="s">
        <v>304</v>
      </c>
      <c r="C51" s="165"/>
      <c r="D51" s="164" t="s">
        <v>397</v>
      </c>
      <c r="E51" s="158">
        <v>43839</v>
      </c>
      <c r="F51" s="158">
        <v>44196</v>
      </c>
      <c r="G51" s="158">
        <v>43839</v>
      </c>
      <c r="H51" s="167">
        <v>44196</v>
      </c>
      <c r="I51" s="160">
        <v>194419.5</v>
      </c>
      <c r="J51" s="160">
        <v>195958</v>
      </c>
      <c r="K51" s="160">
        <v>103411.4</v>
      </c>
      <c r="L51" s="160">
        <f>298181.5-J51</f>
        <v>102223.5</v>
      </c>
      <c r="M51" s="160">
        <v>29793.4</v>
      </c>
      <c r="N51" s="160">
        <f>327736-L51-J51</f>
        <v>29554.5</v>
      </c>
      <c r="O51" s="160">
        <v>52342.8</v>
      </c>
      <c r="P51" s="160">
        <f>339335.2-N51-L51-J51</f>
        <v>11599.200000000012</v>
      </c>
      <c r="Q51" s="134" t="s">
        <v>516</v>
      </c>
      <c r="R51" s="48"/>
      <c r="S51" s="48"/>
    </row>
    <row r="52" spans="1:19" ht="186" customHeight="1" x14ac:dyDescent="0.25">
      <c r="A52" s="162"/>
      <c r="B52" s="157" t="s">
        <v>305</v>
      </c>
      <c r="C52" s="165" t="s">
        <v>23</v>
      </c>
      <c r="D52" s="164" t="s">
        <v>299</v>
      </c>
      <c r="E52" s="159" t="s">
        <v>23</v>
      </c>
      <c r="F52" s="158">
        <v>44196</v>
      </c>
      <c r="G52" s="159" t="s">
        <v>23</v>
      </c>
      <c r="H52" s="167">
        <v>44196</v>
      </c>
      <c r="I52" s="160" t="s">
        <v>23</v>
      </c>
      <c r="J52" s="160" t="s">
        <v>23</v>
      </c>
      <c r="K52" s="160" t="s">
        <v>23</v>
      </c>
      <c r="L52" s="160" t="s">
        <v>23</v>
      </c>
      <c r="M52" s="160" t="s">
        <v>23</v>
      </c>
      <c r="N52" s="160" t="s">
        <v>23</v>
      </c>
      <c r="O52" s="160" t="s">
        <v>23</v>
      </c>
      <c r="P52" s="160" t="s">
        <v>23</v>
      </c>
      <c r="Q52" s="163"/>
      <c r="R52" s="57"/>
      <c r="S52" s="57"/>
    </row>
    <row r="53" spans="1:19" ht="236.25" customHeight="1" x14ac:dyDescent="0.25">
      <c r="A53" s="162"/>
      <c r="B53" s="157" t="s">
        <v>228</v>
      </c>
      <c r="C53" s="165" t="s">
        <v>23</v>
      </c>
      <c r="D53" s="164" t="s">
        <v>398</v>
      </c>
      <c r="E53" s="159" t="s">
        <v>23</v>
      </c>
      <c r="F53" s="158">
        <v>44196</v>
      </c>
      <c r="G53" s="159" t="s">
        <v>23</v>
      </c>
      <c r="H53" s="167">
        <v>44196</v>
      </c>
      <c r="I53" s="160" t="s">
        <v>23</v>
      </c>
      <c r="J53" s="160" t="s">
        <v>23</v>
      </c>
      <c r="K53" s="160" t="s">
        <v>23</v>
      </c>
      <c r="L53" s="160" t="s">
        <v>23</v>
      </c>
      <c r="M53" s="160" t="s">
        <v>23</v>
      </c>
      <c r="N53" s="160" t="s">
        <v>23</v>
      </c>
      <c r="O53" s="160" t="s">
        <v>23</v>
      </c>
      <c r="P53" s="160" t="s">
        <v>23</v>
      </c>
      <c r="Q53" s="163"/>
      <c r="R53" s="48"/>
      <c r="S53" s="48"/>
    </row>
    <row r="54" spans="1:19" ht="20.25" x14ac:dyDescent="0.25">
      <c r="A54" s="66" t="s">
        <v>76</v>
      </c>
      <c r="B54" s="309" t="s">
        <v>229</v>
      </c>
      <c r="C54" s="309"/>
      <c r="D54" s="309"/>
      <c r="E54" s="309"/>
      <c r="F54" s="309"/>
      <c r="G54" s="309"/>
      <c r="H54" s="309"/>
      <c r="I54" s="91">
        <f t="shared" ref="I54:N54" si="2">I55+I58+I64+I65+I67+I68+I69+I66+I71+I70</f>
        <v>2208059.1</v>
      </c>
      <c r="J54" s="91">
        <f t="shared" si="2"/>
        <v>2208624</v>
      </c>
      <c r="K54" s="91">
        <f t="shared" si="2"/>
        <v>3103795.4</v>
      </c>
      <c r="L54" s="91">
        <f t="shared" si="2"/>
        <v>3805917.8999999994</v>
      </c>
      <c r="M54" s="91">
        <f t="shared" si="2"/>
        <v>3242443.5</v>
      </c>
      <c r="N54" s="91">
        <f t="shared" si="2"/>
        <v>2542540.2999999998</v>
      </c>
      <c r="O54" s="91">
        <f>O55+O58+O64+O65+O67+O68+O69+O66+O71+O70</f>
        <v>2969956</v>
      </c>
      <c r="P54" s="91">
        <f>P55+P58+P64+P65+P66+P67+P68+P69+P70+P71</f>
        <v>2944528.7000000011</v>
      </c>
      <c r="Q54" s="163"/>
      <c r="R54" s="48"/>
      <c r="S54" s="48"/>
    </row>
    <row r="55" spans="1:19" ht="408.75" customHeight="1" x14ac:dyDescent="0.25">
      <c r="A55" s="162" t="s">
        <v>78</v>
      </c>
      <c r="B55" s="157" t="s">
        <v>79</v>
      </c>
      <c r="C55" s="165"/>
      <c r="D55" s="164" t="s">
        <v>399</v>
      </c>
      <c r="E55" s="158">
        <v>43839</v>
      </c>
      <c r="F55" s="158">
        <v>44196</v>
      </c>
      <c r="G55" s="158">
        <v>43839</v>
      </c>
      <c r="H55" s="167">
        <v>44196</v>
      </c>
      <c r="I55" s="160">
        <v>3136.7</v>
      </c>
      <c r="J55" s="160">
        <f>J56+J57</f>
        <v>3136.6000000000004</v>
      </c>
      <c r="K55" s="160">
        <v>4967</v>
      </c>
      <c r="L55" s="160">
        <f>L56+L57</f>
        <v>4994.2999999999993</v>
      </c>
      <c r="M55" s="160">
        <f>M56+M57</f>
        <v>6288.2000000000007</v>
      </c>
      <c r="N55" s="160">
        <f t="shared" ref="N55:O55" si="3">N56+N57</f>
        <v>6307.4000000000015</v>
      </c>
      <c r="O55" s="160">
        <f t="shared" si="3"/>
        <v>7013.7</v>
      </c>
      <c r="P55" s="160">
        <f>P56+P57</f>
        <v>3792.8999999999978</v>
      </c>
      <c r="Q55" s="200" t="s">
        <v>517</v>
      </c>
      <c r="R55" s="48"/>
      <c r="S55" s="48"/>
    </row>
    <row r="56" spans="1:19" ht="84" customHeight="1" x14ac:dyDescent="0.25">
      <c r="A56" s="162" t="s">
        <v>25</v>
      </c>
      <c r="B56" s="157" t="s">
        <v>80</v>
      </c>
      <c r="C56" s="165"/>
      <c r="D56" s="164" t="s">
        <v>23</v>
      </c>
      <c r="E56" s="158">
        <v>43839</v>
      </c>
      <c r="F56" s="158">
        <v>44196</v>
      </c>
      <c r="G56" s="158">
        <v>43839</v>
      </c>
      <c r="H56" s="167">
        <v>44196</v>
      </c>
      <c r="I56" s="160">
        <v>1277.8</v>
      </c>
      <c r="J56" s="160">
        <v>1277.7</v>
      </c>
      <c r="K56" s="160">
        <v>2055.1</v>
      </c>
      <c r="L56" s="160">
        <f>3360-J56</f>
        <v>2082.3000000000002</v>
      </c>
      <c r="M56" s="160">
        <v>2868.3</v>
      </c>
      <c r="N56" s="160">
        <f>6247.6-L56-J56</f>
        <v>2887.6000000000004</v>
      </c>
      <c r="O56" s="160">
        <v>3962.1</v>
      </c>
      <c r="P56" s="160">
        <f>8587.4-N56-L56-J56</f>
        <v>2339.7999999999993</v>
      </c>
      <c r="Q56" s="157" t="s">
        <v>558</v>
      </c>
      <c r="R56" s="48"/>
      <c r="S56" s="48"/>
    </row>
    <row r="57" spans="1:19" ht="81.75" customHeight="1" x14ac:dyDescent="0.25">
      <c r="A57" s="162" t="s">
        <v>81</v>
      </c>
      <c r="B57" s="157" t="s">
        <v>82</v>
      </c>
      <c r="C57" s="165"/>
      <c r="D57" s="164" t="s">
        <v>23</v>
      </c>
      <c r="E57" s="158">
        <v>43839</v>
      </c>
      <c r="F57" s="158">
        <v>44196</v>
      </c>
      <c r="G57" s="158">
        <v>43839</v>
      </c>
      <c r="H57" s="167">
        <v>44196</v>
      </c>
      <c r="I57" s="160">
        <v>1858.9</v>
      </c>
      <c r="J57" s="160">
        <v>1858.9</v>
      </c>
      <c r="K57" s="160">
        <v>2911.9</v>
      </c>
      <c r="L57" s="160">
        <f>4770.9-J57</f>
        <v>2911.9999999999995</v>
      </c>
      <c r="M57" s="160">
        <v>3419.9</v>
      </c>
      <c r="N57" s="160">
        <f>8190.7-L57-J57</f>
        <v>3419.8000000000006</v>
      </c>
      <c r="O57" s="160">
        <v>3051.6</v>
      </c>
      <c r="P57" s="160">
        <f>9643.8-N57-L57-J57</f>
        <v>1453.0999999999985</v>
      </c>
      <c r="Q57" s="157"/>
      <c r="R57" s="48"/>
      <c r="S57" s="48"/>
    </row>
    <row r="58" spans="1:19" ht="185.25" customHeight="1" x14ac:dyDescent="0.25">
      <c r="A58" s="162" t="s">
        <v>83</v>
      </c>
      <c r="B58" s="157" t="s">
        <v>230</v>
      </c>
      <c r="C58" s="165"/>
      <c r="D58" s="164" t="s">
        <v>400</v>
      </c>
      <c r="E58" s="158">
        <v>43839</v>
      </c>
      <c r="F58" s="158">
        <v>44196</v>
      </c>
      <c r="G58" s="158">
        <v>43839</v>
      </c>
      <c r="H58" s="167">
        <v>44196</v>
      </c>
      <c r="I58" s="160">
        <v>2200828.2999999998</v>
      </c>
      <c r="J58" s="160">
        <v>2201393.2999999998</v>
      </c>
      <c r="K58" s="160">
        <v>3087122.4</v>
      </c>
      <c r="L58" s="160">
        <f>L59+L60</f>
        <v>3789217.5999999996</v>
      </c>
      <c r="M58" s="160">
        <v>3227906.1</v>
      </c>
      <c r="N58" s="160">
        <f>N59+N60</f>
        <v>2527983.7000000002</v>
      </c>
      <c r="O58" s="160">
        <v>2945669.3</v>
      </c>
      <c r="P58" s="160">
        <f>P59+P60</f>
        <v>2936630.4000000013</v>
      </c>
      <c r="Q58" s="157"/>
      <c r="R58" s="48"/>
      <c r="S58" s="48"/>
    </row>
    <row r="59" spans="1:19" ht="86.25" customHeight="1" x14ac:dyDescent="0.25">
      <c r="A59" s="162" t="s">
        <v>85</v>
      </c>
      <c r="B59" s="157" t="s">
        <v>86</v>
      </c>
      <c r="C59" s="165"/>
      <c r="D59" s="164" t="s">
        <v>23</v>
      </c>
      <c r="E59" s="158">
        <v>43839</v>
      </c>
      <c r="F59" s="158">
        <v>44196</v>
      </c>
      <c r="G59" s="158">
        <v>43839</v>
      </c>
      <c r="H59" s="167">
        <v>44196</v>
      </c>
      <c r="I59" s="160">
        <v>136090.4</v>
      </c>
      <c r="J59" s="160">
        <v>136655.4</v>
      </c>
      <c r="K59" s="160">
        <v>182213.8</v>
      </c>
      <c r="L59" s="160">
        <f>320964.5-J59</f>
        <v>184309.1</v>
      </c>
      <c r="M59" s="160">
        <v>200961.3</v>
      </c>
      <c r="N59" s="160">
        <f>522003.2-L59-J59</f>
        <v>201038.69999999998</v>
      </c>
      <c r="O59" s="160">
        <v>284371</v>
      </c>
      <c r="P59" s="160">
        <f>799181.1-N59-L59-J59</f>
        <v>277177.90000000002</v>
      </c>
      <c r="Q59" s="157"/>
      <c r="R59" s="48"/>
      <c r="S59" s="48"/>
    </row>
    <row r="60" spans="1:19" ht="79.5" customHeight="1" x14ac:dyDescent="0.25">
      <c r="A60" s="162" t="s">
        <v>88</v>
      </c>
      <c r="B60" s="157" t="s">
        <v>89</v>
      </c>
      <c r="C60" s="165"/>
      <c r="D60" s="164" t="s">
        <v>23</v>
      </c>
      <c r="E60" s="158">
        <v>43839</v>
      </c>
      <c r="F60" s="158">
        <v>44196</v>
      </c>
      <c r="G60" s="158">
        <v>43839</v>
      </c>
      <c r="H60" s="167">
        <v>44196</v>
      </c>
      <c r="I60" s="160">
        <v>2064737.9</v>
      </c>
      <c r="J60" s="160">
        <v>2064737.9</v>
      </c>
      <c r="K60" s="160">
        <v>2904908.6</v>
      </c>
      <c r="L60" s="160">
        <f>L62+L63+L61</f>
        <v>3604908.4999999995</v>
      </c>
      <c r="M60" s="160">
        <v>3026944.8</v>
      </c>
      <c r="N60" s="160">
        <f>N61+N62+N63</f>
        <v>2326945</v>
      </c>
      <c r="O60" s="160">
        <v>2661298.2999999998</v>
      </c>
      <c r="P60" s="160">
        <f>P61+P62+P63</f>
        <v>2659452.5000000014</v>
      </c>
      <c r="Q60" s="157"/>
      <c r="R60" s="48"/>
      <c r="S60" s="48"/>
    </row>
    <row r="61" spans="1:19" ht="56.25" x14ac:dyDescent="0.25">
      <c r="A61" s="68" t="s">
        <v>90</v>
      </c>
      <c r="B61" s="157" t="s">
        <v>91</v>
      </c>
      <c r="C61" s="165"/>
      <c r="D61" s="164" t="s">
        <v>23</v>
      </c>
      <c r="E61" s="158">
        <v>43839</v>
      </c>
      <c r="F61" s="158">
        <v>44196</v>
      </c>
      <c r="G61" s="158">
        <v>43839</v>
      </c>
      <c r="H61" s="167">
        <v>44196</v>
      </c>
      <c r="I61" s="160">
        <v>2052863.7</v>
      </c>
      <c r="J61" s="160">
        <v>2052863.7</v>
      </c>
      <c r="K61" s="160">
        <v>2894299</v>
      </c>
      <c r="L61" s="160">
        <f>5647162.6-J61</f>
        <v>3594298.8999999994</v>
      </c>
      <c r="M61" s="160">
        <v>2969035.8</v>
      </c>
      <c r="N61" s="160">
        <f>7916198.6-L61-J61</f>
        <v>2269036</v>
      </c>
      <c r="O61" s="160">
        <v>2646958.7999999998</v>
      </c>
      <c r="P61" s="160">
        <f>10563157.3-N61-L61-J61</f>
        <v>2646958.7000000011</v>
      </c>
      <c r="Q61" s="157"/>
      <c r="R61" s="48"/>
      <c r="S61" s="48"/>
    </row>
    <row r="62" spans="1:19" ht="85.5" customHeight="1" x14ac:dyDescent="0.25">
      <c r="A62" s="68" t="s">
        <v>92</v>
      </c>
      <c r="B62" s="157" t="s">
        <v>93</v>
      </c>
      <c r="C62" s="165"/>
      <c r="D62" s="164" t="s">
        <v>23</v>
      </c>
      <c r="E62" s="158">
        <v>43839</v>
      </c>
      <c r="F62" s="158">
        <v>44196</v>
      </c>
      <c r="G62" s="158">
        <v>43839</v>
      </c>
      <c r="H62" s="167">
        <v>44196</v>
      </c>
      <c r="I62" s="160">
        <v>7289.6</v>
      </c>
      <c r="J62" s="160">
        <v>7289.6</v>
      </c>
      <c r="K62" s="160">
        <v>4189.2</v>
      </c>
      <c r="L62" s="160">
        <f>11478.8-J62</f>
        <v>4189.1999999999989</v>
      </c>
      <c r="M62" s="160">
        <v>51763</v>
      </c>
      <c r="N62" s="160">
        <f>63241.8-L62-J62</f>
        <v>51763.000000000007</v>
      </c>
      <c r="O62" s="160">
        <v>8742.2999999999993</v>
      </c>
      <c r="P62" s="160">
        <f>71984-N62-L62-J62</f>
        <v>8742.1999999999935</v>
      </c>
      <c r="Q62" s="157" t="s">
        <v>557</v>
      </c>
      <c r="R62" s="48"/>
      <c r="S62" s="48"/>
    </row>
    <row r="63" spans="1:19" ht="220.5" customHeight="1" x14ac:dyDescent="0.25">
      <c r="A63" s="68" t="s">
        <v>94</v>
      </c>
      <c r="B63" s="157" t="s">
        <v>363</v>
      </c>
      <c r="C63" s="165"/>
      <c r="D63" s="164" t="s">
        <v>23</v>
      </c>
      <c r="E63" s="158">
        <v>43839</v>
      </c>
      <c r="F63" s="158">
        <v>44196</v>
      </c>
      <c r="G63" s="158">
        <v>43839</v>
      </c>
      <c r="H63" s="167">
        <v>44196</v>
      </c>
      <c r="I63" s="160">
        <v>4584.6000000000004</v>
      </c>
      <c r="J63" s="160">
        <v>4584.6000000000004</v>
      </c>
      <c r="K63" s="160">
        <v>6420.4</v>
      </c>
      <c r="L63" s="160">
        <f>11005-J63</f>
        <v>6420.4</v>
      </c>
      <c r="M63" s="160">
        <v>6146</v>
      </c>
      <c r="N63" s="160">
        <f>17151-L63-J63</f>
        <v>6146</v>
      </c>
      <c r="O63" s="160">
        <v>5597.2</v>
      </c>
      <c r="P63" s="160">
        <f>20902.6-N63-L63-J63</f>
        <v>3751.5999999999985</v>
      </c>
      <c r="Q63" s="135" t="s">
        <v>556</v>
      </c>
      <c r="R63" s="48"/>
      <c r="S63" s="48"/>
    </row>
    <row r="64" spans="1:19" ht="379.5" customHeight="1" x14ac:dyDescent="0.25">
      <c r="A64" s="162" t="s">
        <v>45</v>
      </c>
      <c r="B64" s="157" t="s">
        <v>231</v>
      </c>
      <c r="C64" s="165"/>
      <c r="D64" s="164" t="s">
        <v>401</v>
      </c>
      <c r="E64" s="159" t="s">
        <v>274</v>
      </c>
      <c r="F64" s="158">
        <v>44104</v>
      </c>
      <c r="G64" s="158">
        <v>44013</v>
      </c>
      <c r="H64" s="158">
        <v>44104</v>
      </c>
      <c r="I64" s="160">
        <v>0</v>
      </c>
      <c r="J64" s="160">
        <v>0</v>
      </c>
      <c r="K64" s="160">
        <v>0</v>
      </c>
      <c r="L64" s="160">
        <v>0</v>
      </c>
      <c r="M64" s="160">
        <v>1633.6</v>
      </c>
      <c r="N64" s="160">
        <v>1633.6</v>
      </c>
      <c r="O64" s="160">
        <v>0</v>
      </c>
      <c r="P64" s="160">
        <f>1633.6-N64-L64-J64</f>
        <v>0</v>
      </c>
      <c r="Q64" s="157"/>
      <c r="R64" s="48"/>
      <c r="S64" s="48"/>
    </row>
    <row r="65" spans="1:19" ht="262.5" x14ac:dyDescent="0.25">
      <c r="A65" s="162" t="s">
        <v>47</v>
      </c>
      <c r="B65" s="157" t="s">
        <v>232</v>
      </c>
      <c r="C65" s="165"/>
      <c r="D65" s="164" t="s">
        <v>402</v>
      </c>
      <c r="E65" s="158">
        <v>43922</v>
      </c>
      <c r="F65" s="158">
        <v>44012</v>
      </c>
      <c r="G65" s="158">
        <v>43922</v>
      </c>
      <c r="H65" s="158">
        <v>44012</v>
      </c>
      <c r="I65" s="160">
        <v>0</v>
      </c>
      <c r="J65" s="160">
        <v>0</v>
      </c>
      <c r="K65" s="160">
        <v>3462.9</v>
      </c>
      <c r="L65" s="160">
        <f>3462.9-J65</f>
        <v>3462.9</v>
      </c>
      <c r="M65" s="160">
        <v>0</v>
      </c>
      <c r="N65" s="160">
        <v>0</v>
      </c>
      <c r="O65" s="160">
        <v>0</v>
      </c>
      <c r="P65" s="160">
        <f>3462.9-N65-L65-J65</f>
        <v>0</v>
      </c>
      <c r="Q65" s="157"/>
      <c r="R65" s="48"/>
      <c r="S65" s="48"/>
    </row>
    <row r="66" spans="1:19" ht="221.25" customHeight="1" x14ac:dyDescent="0.25">
      <c r="A66" s="162" t="s">
        <v>98</v>
      </c>
      <c r="B66" s="157" t="s">
        <v>233</v>
      </c>
      <c r="C66" s="165"/>
      <c r="D66" s="164" t="s">
        <v>403</v>
      </c>
      <c r="E66" s="158">
        <v>43922</v>
      </c>
      <c r="F66" s="158">
        <v>44104</v>
      </c>
      <c r="G66" s="158">
        <v>43922</v>
      </c>
      <c r="H66" s="158">
        <v>44104</v>
      </c>
      <c r="I66" s="160">
        <v>0</v>
      </c>
      <c r="J66" s="160">
        <v>0</v>
      </c>
      <c r="K66" s="160">
        <v>13.7</v>
      </c>
      <c r="L66" s="160">
        <v>13.7</v>
      </c>
      <c r="M66" s="160">
        <v>1246.3</v>
      </c>
      <c r="N66" s="160">
        <f>1260-L66-J66</f>
        <v>1246.3</v>
      </c>
      <c r="O66" s="160">
        <v>0</v>
      </c>
      <c r="P66" s="160">
        <f>1260-N66-L66-J66</f>
        <v>4.6185277824406512E-14</v>
      </c>
      <c r="Q66" s="157"/>
      <c r="R66" s="48"/>
      <c r="S66" s="48"/>
    </row>
    <row r="67" spans="1:19" ht="207" customHeight="1" x14ac:dyDescent="0.25">
      <c r="A67" s="162" t="s">
        <v>100</v>
      </c>
      <c r="B67" s="157" t="s">
        <v>234</v>
      </c>
      <c r="C67" s="165"/>
      <c r="D67" s="164" t="s">
        <v>402</v>
      </c>
      <c r="E67" s="159" t="s">
        <v>274</v>
      </c>
      <c r="F67" s="158">
        <v>44104</v>
      </c>
      <c r="G67" s="158">
        <v>44013</v>
      </c>
      <c r="H67" s="158">
        <v>44104</v>
      </c>
      <c r="I67" s="160">
        <v>0</v>
      </c>
      <c r="J67" s="160">
        <v>0</v>
      </c>
      <c r="K67" s="160">
        <v>0</v>
      </c>
      <c r="L67" s="160">
        <v>0</v>
      </c>
      <c r="M67" s="160">
        <v>700</v>
      </c>
      <c r="N67" s="160">
        <v>700</v>
      </c>
      <c r="O67" s="160">
        <v>0</v>
      </c>
      <c r="P67" s="160">
        <v>0</v>
      </c>
      <c r="Q67" s="157"/>
      <c r="R67" s="48"/>
      <c r="S67" s="48"/>
    </row>
    <row r="68" spans="1:19" ht="126" customHeight="1" x14ac:dyDescent="0.25">
      <c r="A68" s="162" t="s">
        <v>102</v>
      </c>
      <c r="B68" s="157" t="s">
        <v>235</v>
      </c>
      <c r="C68" s="165"/>
      <c r="D68" s="164" t="s">
        <v>403</v>
      </c>
      <c r="E68" s="159" t="s">
        <v>271</v>
      </c>
      <c r="F68" s="159" t="s">
        <v>269</v>
      </c>
      <c r="G68" s="158">
        <v>43839</v>
      </c>
      <c r="H68" s="167">
        <v>44196</v>
      </c>
      <c r="I68" s="160">
        <v>4094.1</v>
      </c>
      <c r="J68" s="160">
        <v>4094.1</v>
      </c>
      <c r="K68" s="160">
        <v>3829.4</v>
      </c>
      <c r="L68" s="160">
        <f>7923.5-J68</f>
        <v>3829.4</v>
      </c>
      <c r="M68" s="160">
        <v>3669.3</v>
      </c>
      <c r="N68" s="160">
        <f>11592.8-L68-J68</f>
        <v>3669.2999999999997</v>
      </c>
      <c r="O68" s="160">
        <v>4239.6000000000004</v>
      </c>
      <c r="P68" s="160">
        <f>15698.2-N68-L68-J68</f>
        <v>4105.4000000000015</v>
      </c>
      <c r="Q68" s="135" t="s">
        <v>555</v>
      </c>
      <c r="R68" s="48"/>
      <c r="S68" s="48"/>
    </row>
    <row r="69" spans="1:19" ht="324.75" customHeight="1" x14ac:dyDescent="0.25">
      <c r="A69" s="162" t="s">
        <v>104</v>
      </c>
      <c r="B69" s="157" t="s">
        <v>236</v>
      </c>
      <c r="C69" s="165"/>
      <c r="D69" s="164" t="s">
        <v>403</v>
      </c>
      <c r="E69" s="158">
        <v>44013</v>
      </c>
      <c r="F69" s="158">
        <v>44104</v>
      </c>
      <c r="G69" s="158">
        <v>44013</v>
      </c>
      <c r="H69" s="158">
        <v>44104</v>
      </c>
      <c r="I69" s="160">
        <v>0</v>
      </c>
      <c r="J69" s="160">
        <v>0</v>
      </c>
      <c r="K69" s="160">
        <v>0</v>
      </c>
      <c r="L69" s="160">
        <v>0</v>
      </c>
      <c r="M69" s="160">
        <v>1000</v>
      </c>
      <c r="N69" s="160">
        <v>1000</v>
      </c>
      <c r="O69" s="160">
        <v>0</v>
      </c>
      <c r="P69" s="160">
        <v>0</v>
      </c>
      <c r="Q69" s="157"/>
      <c r="R69" s="48"/>
      <c r="S69" s="48"/>
    </row>
    <row r="70" spans="1:19" ht="348" customHeight="1" x14ac:dyDescent="0.25">
      <c r="A70" s="162" t="s">
        <v>456</v>
      </c>
      <c r="B70" s="157" t="s">
        <v>306</v>
      </c>
      <c r="C70" s="165"/>
      <c r="D70" s="164" t="s">
        <v>404</v>
      </c>
      <c r="E70" s="158">
        <v>43922</v>
      </c>
      <c r="F70" s="158">
        <v>44012</v>
      </c>
      <c r="G70" s="158">
        <v>43922</v>
      </c>
      <c r="H70" s="158">
        <v>44012</v>
      </c>
      <c r="I70" s="160">
        <v>0</v>
      </c>
      <c r="J70" s="160">
        <v>0</v>
      </c>
      <c r="K70" s="160">
        <v>4400</v>
      </c>
      <c r="L70" s="160">
        <v>4400</v>
      </c>
      <c r="M70" s="160">
        <v>0</v>
      </c>
      <c r="N70" s="160">
        <v>0</v>
      </c>
      <c r="O70" s="160">
        <v>0</v>
      </c>
      <c r="P70" s="160">
        <v>0</v>
      </c>
      <c r="Q70" s="133" t="s">
        <v>449</v>
      </c>
      <c r="R70" s="48"/>
      <c r="S70" s="48"/>
    </row>
    <row r="71" spans="1:19" ht="237.75" customHeight="1" x14ac:dyDescent="0.25">
      <c r="A71" s="162" t="s">
        <v>48</v>
      </c>
      <c r="B71" s="157" t="s">
        <v>264</v>
      </c>
      <c r="C71" s="165"/>
      <c r="D71" s="164" t="s">
        <v>403</v>
      </c>
      <c r="E71" s="158">
        <v>44105</v>
      </c>
      <c r="F71" s="158">
        <v>44196</v>
      </c>
      <c r="G71" s="158">
        <v>44105</v>
      </c>
      <c r="H71" s="167">
        <v>44196</v>
      </c>
      <c r="I71" s="160">
        <v>0</v>
      </c>
      <c r="J71" s="160">
        <v>0</v>
      </c>
      <c r="K71" s="160">
        <v>0</v>
      </c>
      <c r="L71" s="160">
        <v>0</v>
      </c>
      <c r="M71" s="160">
        <v>0</v>
      </c>
      <c r="N71" s="160">
        <v>0</v>
      </c>
      <c r="O71" s="160">
        <v>13033.4</v>
      </c>
      <c r="P71" s="160"/>
      <c r="Q71" s="133" t="s">
        <v>554</v>
      </c>
      <c r="R71" s="48"/>
      <c r="S71" s="48"/>
    </row>
    <row r="72" spans="1:19" ht="223.5" customHeight="1" x14ac:dyDescent="0.25">
      <c r="A72" s="162"/>
      <c r="B72" s="157" t="s">
        <v>237</v>
      </c>
      <c r="C72" s="165">
        <v>1</v>
      </c>
      <c r="D72" s="164" t="s">
        <v>405</v>
      </c>
      <c r="E72" s="159" t="s">
        <v>23</v>
      </c>
      <c r="F72" s="158">
        <v>44196</v>
      </c>
      <c r="G72" s="64" t="s">
        <v>23</v>
      </c>
      <c r="H72" s="167">
        <v>44196</v>
      </c>
      <c r="I72" s="160" t="s">
        <v>23</v>
      </c>
      <c r="J72" s="160" t="s">
        <v>23</v>
      </c>
      <c r="K72" s="160" t="s">
        <v>23</v>
      </c>
      <c r="L72" s="160" t="s">
        <v>23</v>
      </c>
      <c r="M72" s="160" t="s">
        <v>23</v>
      </c>
      <c r="N72" s="160" t="s">
        <v>23</v>
      </c>
      <c r="O72" s="160" t="s">
        <v>23</v>
      </c>
      <c r="P72" s="160" t="s">
        <v>23</v>
      </c>
      <c r="Q72" s="163"/>
      <c r="R72" s="48"/>
      <c r="S72" s="48"/>
    </row>
    <row r="73" spans="1:19" ht="121.5" customHeight="1" x14ac:dyDescent="0.25">
      <c r="A73" s="162"/>
      <c r="B73" s="157" t="s">
        <v>327</v>
      </c>
      <c r="C73" s="165" t="s">
        <v>23</v>
      </c>
      <c r="D73" s="164" t="s">
        <v>406</v>
      </c>
      <c r="E73" s="159" t="s">
        <v>23</v>
      </c>
      <c r="F73" s="158">
        <v>44196</v>
      </c>
      <c r="G73" s="159" t="s">
        <v>23</v>
      </c>
      <c r="H73" s="167">
        <v>44196</v>
      </c>
      <c r="I73" s="160" t="s">
        <v>23</v>
      </c>
      <c r="J73" s="160" t="s">
        <v>23</v>
      </c>
      <c r="K73" s="160" t="s">
        <v>23</v>
      </c>
      <c r="L73" s="160" t="s">
        <v>23</v>
      </c>
      <c r="M73" s="160" t="s">
        <v>23</v>
      </c>
      <c r="N73" s="160" t="s">
        <v>23</v>
      </c>
      <c r="O73" s="160" t="s">
        <v>23</v>
      </c>
      <c r="P73" s="160" t="s">
        <v>23</v>
      </c>
      <c r="Q73" s="163"/>
      <c r="R73" s="48"/>
      <c r="S73" s="48"/>
    </row>
    <row r="74" spans="1:19" ht="240.75" customHeight="1" x14ac:dyDescent="0.25">
      <c r="A74" s="162"/>
      <c r="B74" s="157" t="s">
        <v>328</v>
      </c>
      <c r="C74" s="165" t="s">
        <v>23</v>
      </c>
      <c r="D74" s="164" t="s">
        <v>403</v>
      </c>
      <c r="E74" s="159" t="s">
        <v>23</v>
      </c>
      <c r="F74" s="158">
        <v>44196</v>
      </c>
      <c r="G74" s="159" t="s">
        <v>23</v>
      </c>
      <c r="H74" s="167">
        <v>44196</v>
      </c>
      <c r="I74" s="160" t="s">
        <v>23</v>
      </c>
      <c r="J74" s="160" t="s">
        <v>23</v>
      </c>
      <c r="K74" s="160" t="s">
        <v>23</v>
      </c>
      <c r="L74" s="160" t="s">
        <v>23</v>
      </c>
      <c r="M74" s="160" t="s">
        <v>23</v>
      </c>
      <c r="N74" s="160" t="s">
        <v>23</v>
      </c>
      <c r="O74" s="160" t="s">
        <v>23</v>
      </c>
      <c r="P74" s="160" t="s">
        <v>23</v>
      </c>
      <c r="Q74" s="163"/>
      <c r="R74" s="48"/>
      <c r="S74" s="48"/>
    </row>
    <row r="75" spans="1:19" ht="33" customHeight="1" x14ac:dyDescent="0.25">
      <c r="A75" s="62" t="s">
        <v>238</v>
      </c>
      <c r="B75" s="309" t="s">
        <v>239</v>
      </c>
      <c r="C75" s="309"/>
      <c r="D75" s="309"/>
      <c r="E75" s="309"/>
      <c r="F75" s="309"/>
      <c r="G75" s="309"/>
      <c r="H75" s="309"/>
      <c r="I75" s="91">
        <f>I77+I79+I87+I89+I90+I92+I93+I96+I94+I98+I99+I100+I101+I104+I106+I108+I110+I111+I112+I113+I115+I116+I102+I97</f>
        <v>4883832.3000000007</v>
      </c>
      <c r="J75" s="91">
        <f>J77+J79+J87+J89+J90+J92+J93+J96+J94+J98+J99+J100+J101+J104+J106+J108+J110+J111+J112+J113+J115+J116+J102+J97</f>
        <v>4949034.5000000019</v>
      </c>
      <c r="K75" s="91">
        <f>K77+K79+K87+K89+K90+K92+K93+K96+K94+K98+K99+K100+K101+K104+K106+K108+K110+K111+K112+K113+K115+K116+K102+K97+K103</f>
        <v>5619586.200000002</v>
      </c>
      <c r="L75" s="91">
        <f>L77+L79+L87+L89+L90+L92+L93+L96+L94+L98+L99+L100+L101+L104+L106+L108+L110+L111+L112+L113+L115+L116+L102+L97+L103</f>
        <v>6165873.6000000015</v>
      </c>
      <c r="M75" s="91">
        <f>M77+M79+M87+M89+M90+M92+M93+M96+M94+M98+M99+M100+M101+M104+M106+M108+M110+M111+M112+M113+M115+M116+M102+M97</f>
        <v>13639994.799999999</v>
      </c>
      <c r="N75" s="91">
        <f>N77+N79+N87+N89+N90+N92+N93+N96+N94+N98+N99+N100+N101+N104+N106+N108+N110+N111+N112+N113+N115+N116+N102+N97</f>
        <v>13303893.500000002</v>
      </c>
      <c r="O75" s="91">
        <f>O77+O79+O87+O89+O90+O92+O93+O94+O96+O97+O99+O100+O101+O102+O104+O106+O108+O110+O111+O112+O113+O115+O116</f>
        <v>12162056.200000003</v>
      </c>
      <c r="P75" s="91">
        <f>P77+P79+P87+P89+P90+P92+P93+P96+P94+P98+P99+P100+P101+P104+P106+P108+P110+P111+P112+P113+P115+P116+P102+P97</f>
        <v>10915473.299999999</v>
      </c>
      <c r="Q75" s="163"/>
      <c r="R75" s="63"/>
      <c r="S75" s="63"/>
    </row>
    <row r="76" spans="1:19" ht="163.5" customHeight="1" x14ac:dyDescent="0.25">
      <c r="A76" s="162" t="s">
        <v>78</v>
      </c>
      <c r="B76" s="157" t="s">
        <v>240</v>
      </c>
      <c r="C76" s="164"/>
      <c r="D76" s="164" t="s">
        <v>23</v>
      </c>
      <c r="E76" s="64"/>
      <c r="F76" s="64"/>
      <c r="G76" s="64"/>
      <c r="H76" s="159"/>
      <c r="I76" s="160"/>
      <c r="J76" s="160"/>
      <c r="K76" s="160"/>
      <c r="L76" s="160"/>
      <c r="M76" s="160"/>
      <c r="N76" s="160"/>
      <c r="O76" s="160"/>
      <c r="P76" s="160"/>
      <c r="Q76" s="157"/>
      <c r="R76" s="48"/>
      <c r="S76" s="48"/>
    </row>
    <row r="77" spans="1:19" ht="213.75" customHeight="1" x14ac:dyDescent="0.25">
      <c r="A77" s="162" t="s">
        <v>33</v>
      </c>
      <c r="B77" s="157" t="s">
        <v>241</v>
      </c>
      <c r="C77" s="165"/>
      <c r="D77" s="164" t="s">
        <v>407</v>
      </c>
      <c r="E77" s="158">
        <v>43839</v>
      </c>
      <c r="F77" s="158">
        <v>44196</v>
      </c>
      <c r="G77" s="158">
        <v>43839</v>
      </c>
      <c r="H77" s="167">
        <v>44196</v>
      </c>
      <c r="I77" s="160">
        <v>455383.6</v>
      </c>
      <c r="J77" s="160">
        <v>459248.6</v>
      </c>
      <c r="K77" s="160">
        <v>600235.80000000005</v>
      </c>
      <c r="L77" s="160">
        <f>L78</f>
        <v>602875.9</v>
      </c>
      <c r="M77" s="160">
        <v>590126.80000000005</v>
      </c>
      <c r="N77" s="160">
        <f>N78</f>
        <v>594418.29999999993</v>
      </c>
      <c r="O77" s="160">
        <v>868001.2</v>
      </c>
      <c r="P77" s="160">
        <f>P78</f>
        <v>826614.2000000003</v>
      </c>
      <c r="Q77" s="157"/>
      <c r="R77" s="48"/>
      <c r="S77" s="48"/>
    </row>
    <row r="78" spans="1:19" ht="90" customHeight="1" x14ac:dyDescent="0.25">
      <c r="A78" s="165" t="s">
        <v>81</v>
      </c>
      <c r="B78" s="157" t="s">
        <v>86</v>
      </c>
      <c r="C78" s="165"/>
      <c r="D78" s="164" t="s">
        <v>23</v>
      </c>
      <c r="E78" s="158">
        <v>43839</v>
      </c>
      <c r="F78" s="158">
        <v>44196</v>
      </c>
      <c r="G78" s="158">
        <v>43839</v>
      </c>
      <c r="H78" s="167">
        <v>44196</v>
      </c>
      <c r="I78" s="160">
        <v>455383.6</v>
      </c>
      <c r="J78" s="160">
        <v>459248.6</v>
      </c>
      <c r="K78" s="160">
        <v>600235.80000000005</v>
      </c>
      <c r="L78" s="160">
        <f>1062124.5-J78</f>
        <v>602875.9</v>
      </c>
      <c r="M78" s="160">
        <v>590126.80000000005</v>
      </c>
      <c r="N78" s="160">
        <f>1656542.8-L78-J78</f>
        <v>594418.29999999993</v>
      </c>
      <c r="O78" s="160">
        <v>868001.2</v>
      </c>
      <c r="P78" s="160">
        <f>2483157-N78-L78-J78</f>
        <v>826614.2000000003</v>
      </c>
      <c r="Q78" s="157" t="s">
        <v>553</v>
      </c>
      <c r="R78" s="48"/>
      <c r="S78" s="48"/>
    </row>
    <row r="79" spans="1:19" ht="270" customHeight="1" x14ac:dyDescent="0.25">
      <c r="A79" s="300" t="s">
        <v>34</v>
      </c>
      <c r="B79" s="297" t="s">
        <v>242</v>
      </c>
      <c r="C79" s="301"/>
      <c r="D79" s="302" t="s">
        <v>408</v>
      </c>
      <c r="E79" s="299">
        <v>43839</v>
      </c>
      <c r="F79" s="299">
        <v>44196</v>
      </c>
      <c r="G79" s="299">
        <v>43839</v>
      </c>
      <c r="H79" s="299">
        <v>44196</v>
      </c>
      <c r="I79" s="298">
        <f>I81+I82</f>
        <v>59382.100000000006</v>
      </c>
      <c r="J79" s="298">
        <v>59471.8</v>
      </c>
      <c r="K79" s="298">
        <v>82683.899999999994</v>
      </c>
      <c r="L79" s="298">
        <f>L81+L82</f>
        <v>82607.5</v>
      </c>
      <c r="M79" s="298">
        <v>87076.7</v>
      </c>
      <c r="N79" s="298">
        <f>N81+N82</f>
        <v>87230.5</v>
      </c>
      <c r="O79" s="298">
        <v>102232.2</v>
      </c>
      <c r="P79" s="298">
        <f>P81+P82</f>
        <v>72003.199999999983</v>
      </c>
      <c r="Q79" s="297" t="s">
        <v>552</v>
      </c>
      <c r="R79" s="48"/>
      <c r="S79" s="48"/>
    </row>
    <row r="80" spans="1:19" ht="107.25" customHeight="1" x14ac:dyDescent="0.25">
      <c r="A80" s="300"/>
      <c r="B80" s="297"/>
      <c r="C80" s="301"/>
      <c r="D80" s="302"/>
      <c r="E80" s="299"/>
      <c r="F80" s="308"/>
      <c r="G80" s="299"/>
      <c r="H80" s="308"/>
      <c r="I80" s="298"/>
      <c r="J80" s="298"/>
      <c r="K80" s="298"/>
      <c r="L80" s="298"/>
      <c r="M80" s="298"/>
      <c r="N80" s="298"/>
      <c r="O80" s="298"/>
      <c r="P80" s="298"/>
      <c r="Q80" s="297"/>
      <c r="R80" s="48"/>
      <c r="S80" s="48"/>
    </row>
    <row r="81" spans="1:19" ht="85.5" customHeight="1" x14ac:dyDescent="0.25">
      <c r="A81" s="162" t="s">
        <v>111</v>
      </c>
      <c r="B81" s="157" t="s">
        <v>86</v>
      </c>
      <c r="C81" s="165"/>
      <c r="D81" s="164" t="s">
        <v>23</v>
      </c>
      <c r="E81" s="158">
        <v>43839</v>
      </c>
      <c r="F81" s="158">
        <v>44196</v>
      </c>
      <c r="G81" s="158">
        <v>43839</v>
      </c>
      <c r="H81" s="167">
        <v>44196</v>
      </c>
      <c r="I81" s="160">
        <v>15911.7</v>
      </c>
      <c r="J81" s="160">
        <v>16001.4</v>
      </c>
      <c r="K81" s="160">
        <v>22269.8</v>
      </c>
      <c r="L81" s="160">
        <f>38194.8-J81</f>
        <v>22193.4</v>
      </c>
      <c r="M81" s="160">
        <v>17997.900000000001</v>
      </c>
      <c r="N81" s="160">
        <f>56346.5-L81-J81</f>
        <v>18151.699999999997</v>
      </c>
      <c r="O81" s="160">
        <v>63357.7</v>
      </c>
      <c r="P81" s="160">
        <f>89475.2-N81-L81-J81</f>
        <v>33128.699999999997</v>
      </c>
      <c r="Q81" s="157" t="s">
        <v>552</v>
      </c>
      <c r="R81" s="48"/>
      <c r="S81" s="48"/>
    </row>
    <row r="82" spans="1:19" ht="83.25" customHeight="1" x14ac:dyDescent="0.25">
      <c r="A82" s="162" t="s">
        <v>112</v>
      </c>
      <c r="B82" s="157" t="s">
        <v>113</v>
      </c>
      <c r="C82" s="165"/>
      <c r="D82" s="164" t="s">
        <v>23</v>
      </c>
      <c r="E82" s="158">
        <v>43839</v>
      </c>
      <c r="F82" s="158">
        <v>44196</v>
      </c>
      <c r="G82" s="158">
        <v>43839</v>
      </c>
      <c r="H82" s="167">
        <v>44196</v>
      </c>
      <c r="I82" s="160">
        <f>I83+I84+I85</f>
        <v>43470.400000000001</v>
      </c>
      <c r="J82" s="160">
        <v>43470.400000000001</v>
      </c>
      <c r="K82" s="160">
        <v>60414.1</v>
      </c>
      <c r="L82" s="160">
        <f>L83+L84+L85</f>
        <v>60414.1</v>
      </c>
      <c r="M82" s="160">
        <v>69078.8</v>
      </c>
      <c r="N82" s="160">
        <f>N83+N84+N85</f>
        <v>69078.8</v>
      </c>
      <c r="O82" s="160">
        <v>38874.5</v>
      </c>
      <c r="P82" s="160">
        <f>P83+P84+P85</f>
        <v>38874.499999999993</v>
      </c>
      <c r="Q82" s="157"/>
      <c r="R82" s="48"/>
      <c r="S82" s="48"/>
    </row>
    <row r="83" spans="1:19" ht="81.75" customHeight="1" x14ac:dyDescent="0.25">
      <c r="A83" s="162" t="s">
        <v>114</v>
      </c>
      <c r="B83" s="157" t="s">
        <v>91</v>
      </c>
      <c r="C83" s="165"/>
      <c r="D83" s="164" t="s">
        <v>23</v>
      </c>
      <c r="E83" s="158">
        <v>43839</v>
      </c>
      <c r="F83" s="158">
        <v>44196</v>
      </c>
      <c r="G83" s="158">
        <v>43839</v>
      </c>
      <c r="H83" s="167">
        <v>44196</v>
      </c>
      <c r="I83" s="160">
        <v>38762</v>
      </c>
      <c r="J83" s="160">
        <v>38762</v>
      </c>
      <c r="K83" s="160">
        <v>49124</v>
      </c>
      <c r="L83" s="160">
        <f>87886-J83</f>
        <v>49124</v>
      </c>
      <c r="M83" s="160">
        <v>66481.100000000006</v>
      </c>
      <c r="N83" s="160">
        <f>154367.1-L83-J83</f>
        <v>66481.100000000006</v>
      </c>
      <c r="O83" s="160">
        <v>38418.9</v>
      </c>
      <c r="P83" s="160">
        <f>192786-N83-L83-J83</f>
        <v>38418.899999999994</v>
      </c>
      <c r="Q83" s="157"/>
      <c r="R83" s="48"/>
      <c r="S83" s="48"/>
    </row>
    <row r="84" spans="1:19" ht="84.75" customHeight="1" x14ac:dyDescent="0.25">
      <c r="A84" s="162" t="s">
        <v>115</v>
      </c>
      <c r="B84" s="157" t="s">
        <v>93</v>
      </c>
      <c r="C84" s="165"/>
      <c r="D84" s="164" t="s">
        <v>23</v>
      </c>
      <c r="E84" s="158">
        <v>43839</v>
      </c>
      <c r="F84" s="158">
        <v>44104</v>
      </c>
      <c r="G84" s="158">
        <v>43839</v>
      </c>
      <c r="H84" s="158">
        <v>44104</v>
      </c>
      <c r="I84" s="160">
        <v>4070</v>
      </c>
      <c r="J84" s="160">
        <v>4070</v>
      </c>
      <c r="K84" s="160">
        <v>11160</v>
      </c>
      <c r="L84" s="160">
        <f>15230-J84</f>
        <v>11160</v>
      </c>
      <c r="M84" s="160">
        <v>2519.6999999999998</v>
      </c>
      <c r="N84" s="160">
        <f>17749.7-L84-J84</f>
        <v>2519.7000000000007</v>
      </c>
      <c r="O84" s="160">
        <v>0</v>
      </c>
      <c r="P84" s="160">
        <f>17749.7-N84-L84-J84</f>
        <v>0</v>
      </c>
      <c r="Q84" s="157"/>
      <c r="R84" s="48"/>
      <c r="S84" s="48"/>
    </row>
    <row r="85" spans="1:19" ht="90" customHeight="1" x14ac:dyDescent="0.25">
      <c r="A85" s="300" t="s">
        <v>116</v>
      </c>
      <c r="B85" s="297" t="s">
        <v>307</v>
      </c>
      <c r="C85" s="301"/>
      <c r="D85" s="302" t="s">
        <v>23</v>
      </c>
      <c r="E85" s="299">
        <v>43839</v>
      </c>
      <c r="F85" s="299">
        <v>44196</v>
      </c>
      <c r="G85" s="299">
        <v>43839</v>
      </c>
      <c r="H85" s="299">
        <v>44196</v>
      </c>
      <c r="I85" s="298">
        <v>638.4</v>
      </c>
      <c r="J85" s="298">
        <v>638.4</v>
      </c>
      <c r="K85" s="298">
        <v>130.1</v>
      </c>
      <c r="L85" s="298">
        <f>768.5-J85</f>
        <v>130.10000000000002</v>
      </c>
      <c r="M85" s="298">
        <v>78</v>
      </c>
      <c r="N85" s="298">
        <f>846.5-L85-J85</f>
        <v>78</v>
      </c>
      <c r="O85" s="298">
        <v>455.6</v>
      </c>
      <c r="P85" s="298">
        <f>1302.1-N85-L85-J85</f>
        <v>455.6</v>
      </c>
      <c r="Q85" s="297"/>
      <c r="R85" s="48"/>
      <c r="S85" s="48"/>
    </row>
    <row r="86" spans="1:19" ht="242.25" customHeight="1" x14ac:dyDescent="0.25">
      <c r="A86" s="300"/>
      <c r="B86" s="297"/>
      <c r="C86" s="301"/>
      <c r="D86" s="302"/>
      <c r="E86" s="308"/>
      <c r="F86" s="308"/>
      <c r="G86" s="299"/>
      <c r="H86" s="308"/>
      <c r="I86" s="298"/>
      <c r="J86" s="298"/>
      <c r="K86" s="298"/>
      <c r="L86" s="298"/>
      <c r="M86" s="298"/>
      <c r="N86" s="298"/>
      <c r="O86" s="298"/>
      <c r="P86" s="298"/>
      <c r="Q86" s="297"/>
      <c r="R86" s="48"/>
      <c r="S86" s="48"/>
    </row>
    <row r="87" spans="1:19" ht="327.75" customHeight="1" x14ac:dyDescent="0.25">
      <c r="A87" s="300" t="s">
        <v>83</v>
      </c>
      <c r="B87" s="297" t="s">
        <v>364</v>
      </c>
      <c r="C87" s="301"/>
      <c r="D87" s="302" t="s">
        <v>409</v>
      </c>
      <c r="E87" s="299">
        <v>43839</v>
      </c>
      <c r="F87" s="299">
        <v>44196</v>
      </c>
      <c r="G87" s="299">
        <v>43839</v>
      </c>
      <c r="H87" s="299">
        <v>44196</v>
      </c>
      <c r="I87" s="298">
        <v>97853.1</v>
      </c>
      <c r="J87" s="298">
        <v>97853.1</v>
      </c>
      <c r="K87" s="298">
        <v>84000</v>
      </c>
      <c r="L87" s="298">
        <f>181853.1-J87</f>
        <v>84000</v>
      </c>
      <c r="M87" s="298">
        <v>84000</v>
      </c>
      <c r="N87" s="298">
        <f>265853.1-L87-J87</f>
        <v>83999.999999999971</v>
      </c>
      <c r="O87" s="298">
        <v>2000</v>
      </c>
      <c r="P87" s="298">
        <f>267853.1-N87-L87-J87</f>
        <v>2000</v>
      </c>
      <c r="Q87" s="297"/>
      <c r="R87" s="48"/>
      <c r="S87" s="48"/>
    </row>
    <row r="88" spans="1:19" ht="143.25" customHeight="1" x14ac:dyDescent="0.25">
      <c r="A88" s="300"/>
      <c r="B88" s="297"/>
      <c r="C88" s="301"/>
      <c r="D88" s="302"/>
      <c r="E88" s="299"/>
      <c r="F88" s="299"/>
      <c r="G88" s="299"/>
      <c r="H88" s="299"/>
      <c r="I88" s="298"/>
      <c r="J88" s="298"/>
      <c r="K88" s="298"/>
      <c r="L88" s="298"/>
      <c r="M88" s="298"/>
      <c r="N88" s="298"/>
      <c r="O88" s="298"/>
      <c r="P88" s="298"/>
      <c r="Q88" s="297"/>
      <c r="R88" s="48"/>
      <c r="S88" s="48"/>
    </row>
    <row r="89" spans="1:19" ht="178.5" customHeight="1" x14ac:dyDescent="0.25">
      <c r="A89" s="162" t="s">
        <v>36</v>
      </c>
      <c r="B89" s="157" t="s">
        <v>368</v>
      </c>
      <c r="C89" s="165"/>
      <c r="D89" s="164" t="s">
        <v>410</v>
      </c>
      <c r="E89" s="158">
        <v>43839</v>
      </c>
      <c r="F89" s="158">
        <v>44196</v>
      </c>
      <c r="G89" s="158">
        <v>43839</v>
      </c>
      <c r="H89" s="167">
        <v>44196</v>
      </c>
      <c r="I89" s="160">
        <v>250634.1</v>
      </c>
      <c r="J89" s="160">
        <v>251043.20000000001</v>
      </c>
      <c r="K89" s="160">
        <v>250454.9</v>
      </c>
      <c r="L89" s="160">
        <f>501250.9-J89</f>
        <v>250207.7</v>
      </c>
      <c r="M89" s="160">
        <v>268385.5</v>
      </c>
      <c r="N89" s="160">
        <f>770071.7-L89-J89</f>
        <v>268820.79999999993</v>
      </c>
      <c r="O89" s="160">
        <v>267593.09999999998</v>
      </c>
      <c r="P89" s="160">
        <f>1008193.2-N89-L89-J89</f>
        <v>238121.5</v>
      </c>
      <c r="Q89" s="135" t="s">
        <v>448</v>
      </c>
      <c r="R89" s="48"/>
      <c r="S89" s="48"/>
    </row>
    <row r="90" spans="1:19" ht="408.75" customHeight="1" x14ac:dyDescent="0.25">
      <c r="A90" s="300" t="s">
        <v>37</v>
      </c>
      <c r="B90" s="297" t="s">
        <v>365</v>
      </c>
      <c r="C90" s="301"/>
      <c r="D90" s="302" t="s">
        <v>411</v>
      </c>
      <c r="E90" s="299">
        <v>43839</v>
      </c>
      <c r="F90" s="299">
        <v>44196</v>
      </c>
      <c r="G90" s="299">
        <v>43839</v>
      </c>
      <c r="H90" s="299">
        <v>44196</v>
      </c>
      <c r="I90" s="298">
        <v>31953.5</v>
      </c>
      <c r="J90" s="298">
        <v>31950.1</v>
      </c>
      <c r="K90" s="298">
        <v>27506.6</v>
      </c>
      <c r="L90" s="298">
        <f>66963.8-J90</f>
        <v>35013.700000000004</v>
      </c>
      <c r="M90" s="298">
        <v>28673.599999999999</v>
      </c>
      <c r="N90" s="298">
        <f>88228.3-L90-J90</f>
        <v>21264.5</v>
      </c>
      <c r="O90" s="298">
        <v>40624.400000000001</v>
      </c>
      <c r="P90" s="298">
        <f>116559.9-N90-L90-J90</f>
        <v>28331.599999999991</v>
      </c>
      <c r="Q90" s="136" t="s">
        <v>551</v>
      </c>
      <c r="R90" s="48"/>
      <c r="S90" s="48"/>
    </row>
    <row r="91" spans="1:19" ht="28.5" customHeight="1" x14ac:dyDescent="0.25">
      <c r="A91" s="300"/>
      <c r="B91" s="297"/>
      <c r="C91" s="301"/>
      <c r="D91" s="302"/>
      <c r="E91" s="299"/>
      <c r="F91" s="308"/>
      <c r="G91" s="299"/>
      <c r="H91" s="308"/>
      <c r="I91" s="298"/>
      <c r="J91" s="298"/>
      <c r="K91" s="298"/>
      <c r="L91" s="298"/>
      <c r="M91" s="298"/>
      <c r="N91" s="298"/>
      <c r="O91" s="298"/>
      <c r="P91" s="298"/>
      <c r="Q91" s="136"/>
      <c r="R91" s="48"/>
      <c r="S91" s="48"/>
    </row>
    <row r="92" spans="1:19" ht="336" customHeight="1" x14ac:dyDescent="0.25">
      <c r="A92" s="162" t="s">
        <v>41</v>
      </c>
      <c r="B92" s="157" t="s">
        <v>308</v>
      </c>
      <c r="C92" s="165"/>
      <c r="D92" s="164" t="s">
        <v>411</v>
      </c>
      <c r="E92" s="158">
        <v>43839</v>
      </c>
      <c r="F92" s="158">
        <v>44196</v>
      </c>
      <c r="G92" s="158">
        <v>43839</v>
      </c>
      <c r="H92" s="167">
        <v>44196</v>
      </c>
      <c r="I92" s="160">
        <v>5385.8</v>
      </c>
      <c r="J92" s="160">
        <v>5394.9</v>
      </c>
      <c r="K92" s="160">
        <v>5279.8</v>
      </c>
      <c r="L92" s="160">
        <f>10665.6-J92</f>
        <v>5270.7000000000007</v>
      </c>
      <c r="M92" s="160">
        <v>4453.8</v>
      </c>
      <c r="N92" s="160">
        <f>15168.3-L92-J92</f>
        <v>4502.6999999999989</v>
      </c>
      <c r="O92" s="160">
        <v>10144.799999999999</v>
      </c>
      <c r="P92" s="160">
        <f>19351-N92-L92-J92</f>
        <v>4182.7000000000007</v>
      </c>
      <c r="Q92" s="135" t="s">
        <v>550</v>
      </c>
      <c r="R92" s="48"/>
      <c r="S92" s="48"/>
    </row>
    <row r="93" spans="1:19" ht="297.75" customHeight="1" x14ac:dyDescent="0.25">
      <c r="A93" s="162" t="s">
        <v>117</v>
      </c>
      <c r="B93" s="157" t="s">
        <v>309</v>
      </c>
      <c r="C93" s="165"/>
      <c r="D93" s="164" t="s">
        <v>411</v>
      </c>
      <c r="E93" s="158">
        <v>43839</v>
      </c>
      <c r="F93" s="158">
        <v>44196</v>
      </c>
      <c r="G93" s="158">
        <v>43839</v>
      </c>
      <c r="H93" s="167">
        <v>44196</v>
      </c>
      <c r="I93" s="160">
        <v>790587.8</v>
      </c>
      <c r="J93" s="160">
        <v>794238.9</v>
      </c>
      <c r="K93" s="160">
        <v>732731.8</v>
      </c>
      <c r="L93" s="160">
        <f>1525379.5-J93</f>
        <v>731140.6</v>
      </c>
      <c r="M93" s="160">
        <v>914244.6</v>
      </c>
      <c r="N93" s="160">
        <f>2446431.9-L93-J93</f>
        <v>921052.39999999979</v>
      </c>
      <c r="O93" s="160">
        <v>1147273.3</v>
      </c>
      <c r="P93" s="160">
        <f>3397682.4-N93-L93-J93</f>
        <v>951250.49999999988</v>
      </c>
      <c r="Q93" s="139" t="s">
        <v>549</v>
      </c>
      <c r="R93" s="48"/>
      <c r="S93" s="48"/>
    </row>
    <row r="94" spans="1:19" ht="408.75" customHeight="1" x14ac:dyDescent="0.25">
      <c r="A94" s="300" t="s">
        <v>118</v>
      </c>
      <c r="B94" s="297" t="s">
        <v>369</v>
      </c>
      <c r="C94" s="301"/>
      <c r="D94" s="302" t="s">
        <v>411</v>
      </c>
      <c r="E94" s="299">
        <v>43839</v>
      </c>
      <c r="F94" s="299">
        <v>44196</v>
      </c>
      <c r="G94" s="299">
        <v>43839</v>
      </c>
      <c r="H94" s="299">
        <v>44196</v>
      </c>
      <c r="I94" s="298">
        <v>904139.2</v>
      </c>
      <c r="J94" s="298">
        <v>904409.4</v>
      </c>
      <c r="K94" s="298">
        <v>879555.6</v>
      </c>
      <c r="L94" s="298">
        <f>2028102.2-J94</f>
        <v>1123692.7999999998</v>
      </c>
      <c r="M94" s="298">
        <v>877822.7</v>
      </c>
      <c r="N94" s="298">
        <f>2663076.6-L94-J94</f>
        <v>634974.40000000026</v>
      </c>
      <c r="O94" s="298">
        <v>975083.9</v>
      </c>
      <c r="P94" s="298">
        <f>3564094.4-N94-L94-J94</f>
        <v>901017.7999999997</v>
      </c>
      <c r="Q94" s="135" t="s">
        <v>447</v>
      </c>
      <c r="R94" s="48"/>
      <c r="S94" s="48"/>
    </row>
    <row r="95" spans="1:19" ht="254.25" customHeight="1" x14ac:dyDescent="0.25">
      <c r="A95" s="300"/>
      <c r="B95" s="297"/>
      <c r="C95" s="301"/>
      <c r="D95" s="302"/>
      <c r="E95" s="299"/>
      <c r="F95" s="308"/>
      <c r="G95" s="299"/>
      <c r="H95" s="308"/>
      <c r="I95" s="298"/>
      <c r="J95" s="298"/>
      <c r="K95" s="298"/>
      <c r="L95" s="298"/>
      <c r="M95" s="298"/>
      <c r="N95" s="298"/>
      <c r="O95" s="298"/>
      <c r="P95" s="298"/>
      <c r="Q95" s="135"/>
      <c r="R95" s="48"/>
      <c r="S95" s="48"/>
    </row>
    <row r="96" spans="1:19" ht="219" customHeight="1" x14ac:dyDescent="0.25">
      <c r="A96" s="162" t="s">
        <v>119</v>
      </c>
      <c r="B96" s="157" t="s">
        <v>254</v>
      </c>
      <c r="C96" s="165"/>
      <c r="D96" s="164" t="s">
        <v>411</v>
      </c>
      <c r="E96" s="158">
        <v>43839</v>
      </c>
      <c r="F96" s="158">
        <v>44196</v>
      </c>
      <c r="G96" s="158">
        <v>43839</v>
      </c>
      <c r="H96" s="167">
        <v>44196</v>
      </c>
      <c r="I96" s="160">
        <v>937807.8</v>
      </c>
      <c r="J96" s="160">
        <v>941450.5</v>
      </c>
      <c r="K96" s="160">
        <v>1217650.1000000001</v>
      </c>
      <c r="L96" s="160">
        <f>2157753.5-J96</f>
        <v>1216303</v>
      </c>
      <c r="M96" s="160">
        <v>1375587.2</v>
      </c>
      <c r="N96" s="160">
        <f>3539338.7-L96-J96</f>
        <v>1381585.2000000002</v>
      </c>
      <c r="O96" s="160">
        <v>1609369.9</v>
      </c>
      <c r="P96" s="160">
        <f>5119918.6-N96-L96-J96</f>
        <v>1580579.8999999994</v>
      </c>
      <c r="Q96" s="139" t="s">
        <v>548</v>
      </c>
      <c r="R96" s="48"/>
      <c r="S96" s="48"/>
    </row>
    <row r="97" spans="1:19" ht="123" customHeight="1" x14ac:dyDescent="0.25">
      <c r="A97" s="162" t="s">
        <v>279</v>
      </c>
      <c r="B97" s="157" t="s">
        <v>280</v>
      </c>
      <c r="C97" s="165"/>
      <c r="D97" s="164" t="s">
        <v>411</v>
      </c>
      <c r="E97" s="158">
        <v>43922</v>
      </c>
      <c r="F97" s="158">
        <v>44196</v>
      </c>
      <c r="G97" s="158">
        <v>43922</v>
      </c>
      <c r="H97" s="167">
        <v>44196</v>
      </c>
      <c r="I97" s="160">
        <v>0</v>
      </c>
      <c r="J97" s="160">
        <v>0</v>
      </c>
      <c r="K97" s="160">
        <v>305831</v>
      </c>
      <c r="L97" s="160">
        <f>559101.5-J97</f>
        <v>559101.5</v>
      </c>
      <c r="M97" s="160">
        <v>7840759</v>
      </c>
      <c r="N97" s="160">
        <f>(6323614.2+1998888.1)-L97-J97</f>
        <v>7763400.8000000007</v>
      </c>
      <c r="O97" s="160">
        <v>5159915.2</v>
      </c>
      <c r="P97" s="160">
        <f>12898723.6-N97-L97-J97</f>
        <v>4576221.2999999989</v>
      </c>
      <c r="Q97" s="157" t="s">
        <v>547</v>
      </c>
      <c r="R97" s="48"/>
      <c r="S97" s="48"/>
    </row>
    <row r="98" spans="1:19" ht="144" customHeight="1" x14ac:dyDescent="0.25">
      <c r="A98" s="162" t="s">
        <v>43</v>
      </c>
      <c r="B98" s="157" t="s">
        <v>120</v>
      </c>
      <c r="C98" s="165"/>
      <c r="D98" s="164" t="s">
        <v>412</v>
      </c>
      <c r="E98" s="158">
        <v>44013</v>
      </c>
      <c r="F98" s="158">
        <v>44104</v>
      </c>
      <c r="G98" s="158">
        <v>44013</v>
      </c>
      <c r="H98" s="158">
        <v>44104</v>
      </c>
      <c r="I98" s="160">
        <v>0</v>
      </c>
      <c r="J98" s="160">
        <v>0</v>
      </c>
      <c r="K98" s="160">
        <v>0</v>
      </c>
      <c r="L98" s="160">
        <v>0</v>
      </c>
      <c r="M98" s="160">
        <v>17241.400000000001</v>
      </c>
      <c r="N98" s="160">
        <v>17241.400000000001</v>
      </c>
      <c r="O98" s="160">
        <v>0</v>
      </c>
      <c r="P98" s="160">
        <f>17241.4-N98-L98-J98</f>
        <v>0</v>
      </c>
      <c r="Q98" s="157"/>
      <c r="R98" s="48"/>
      <c r="S98" s="48"/>
    </row>
    <row r="99" spans="1:19" ht="142.5" customHeight="1" x14ac:dyDescent="0.25">
      <c r="A99" s="162" t="s">
        <v>45</v>
      </c>
      <c r="B99" s="157" t="s">
        <v>121</v>
      </c>
      <c r="C99" s="165"/>
      <c r="D99" s="164" t="s">
        <v>414</v>
      </c>
      <c r="E99" s="158">
        <v>43839</v>
      </c>
      <c r="F99" s="158">
        <v>44196</v>
      </c>
      <c r="G99" s="158">
        <v>43839</v>
      </c>
      <c r="H99" s="167">
        <v>44196</v>
      </c>
      <c r="I99" s="160">
        <v>14600</v>
      </c>
      <c r="J99" s="160">
        <v>14600</v>
      </c>
      <c r="K99" s="160">
        <v>11400</v>
      </c>
      <c r="L99" s="160">
        <f>26000-J99</f>
        <v>11400</v>
      </c>
      <c r="M99" s="160">
        <v>26400</v>
      </c>
      <c r="N99" s="160">
        <f>53000-L99-J99</f>
        <v>27000</v>
      </c>
      <c r="O99" s="160">
        <v>24841.5</v>
      </c>
      <c r="P99" s="160">
        <f>77200-N99-L99-J99</f>
        <v>24200</v>
      </c>
      <c r="Q99" s="140" t="s">
        <v>546</v>
      </c>
      <c r="R99" s="48"/>
      <c r="S99" s="48"/>
    </row>
    <row r="100" spans="1:19" ht="169.5" customHeight="1" x14ac:dyDescent="0.25">
      <c r="A100" s="162" t="s">
        <v>47</v>
      </c>
      <c r="B100" s="157" t="s">
        <v>243</v>
      </c>
      <c r="C100" s="165"/>
      <c r="D100" s="164" t="s">
        <v>411</v>
      </c>
      <c r="E100" s="158">
        <v>43839</v>
      </c>
      <c r="F100" s="158">
        <v>44196</v>
      </c>
      <c r="G100" s="158">
        <v>43839</v>
      </c>
      <c r="H100" s="167">
        <v>44196</v>
      </c>
      <c r="I100" s="160">
        <v>340316.5</v>
      </c>
      <c r="J100" s="160">
        <v>340340.9</v>
      </c>
      <c r="K100" s="160">
        <v>344529.3</v>
      </c>
      <c r="L100" s="160">
        <f>684961-J100</f>
        <v>344620.1</v>
      </c>
      <c r="M100" s="160">
        <v>350046.5</v>
      </c>
      <c r="N100" s="160">
        <f>1035448.7-L100-J100</f>
        <v>350487.69999999995</v>
      </c>
      <c r="O100" s="160">
        <v>374801.5</v>
      </c>
      <c r="P100" s="160">
        <f>1393650.2-N100-L100-J100</f>
        <v>358201.5</v>
      </c>
      <c r="Q100" s="135" t="s">
        <v>545</v>
      </c>
      <c r="R100" s="48"/>
      <c r="S100" s="48"/>
    </row>
    <row r="101" spans="1:19" ht="186" customHeight="1" x14ac:dyDescent="0.25">
      <c r="A101" s="162" t="s">
        <v>98</v>
      </c>
      <c r="B101" s="157" t="s">
        <v>123</v>
      </c>
      <c r="C101" s="165"/>
      <c r="D101" s="164" t="s">
        <v>413</v>
      </c>
      <c r="E101" s="158">
        <v>43839</v>
      </c>
      <c r="F101" s="158">
        <v>44196</v>
      </c>
      <c r="G101" s="158">
        <v>43839</v>
      </c>
      <c r="H101" s="167">
        <v>44196</v>
      </c>
      <c r="I101" s="160">
        <v>6354.9</v>
      </c>
      <c r="J101" s="160">
        <v>6390.6</v>
      </c>
      <c r="K101" s="160">
        <v>7876.4</v>
      </c>
      <c r="L101" s="160">
        <f>14303.4-J101</f>
        <v>7912.7999999999993</v>
      </c>
      <c r="M101" s="160">
        <v>8362.5</v>
      </c>
      <c r="N101" s="160">
        <f>22683.8-L101-J101</f>
        <v>8380.4</v>
      </c>
      <c r="O101" s="160">
        <v>14582.1</v>
      </c>
      <c r="P101" s="160">
        <f>36489.7-N101-L101-J101</f>
        <v>13805.899999999996</v>
      </c>
      <c r="Q101" s="135" t="s">
        <v>544</v>
      </c>
      <c r="R101" s="48"/>
      <c r="S101" s="48"/>
    </row>
    <row r="102" spans="1:19" ht="159" customHeight="1" x14ac:dyDescent="0.25">
      <c r="A102" s="162" t="s">
        <v>102</v>
      </c>
      <c r="B102" s="157" t="s">
        <v>244</v>
      </c>
      <c r="C102" s="165"/>
      <c r="D102" s="164" t="s">
        <v>415</v>
      </c>
      <c r="E102" s="158">
        <v>43839</v>
      </c>
      <c r="F102" s="158">
        <v>44196</v>
      </c>
      <c r="G102" s="158">
        <v>43839</v>
      </c>
      <c r="H102" s="167">
        <v>44196</v>
      </c>
      <c r="I102" s="160">
        <v>97750.2</v>
      </c>
      <c r="J102" s="160">
        <v>100666.9</v>
      </c>
      <c r="K102" s="160">
        <v>90104.1</v>
      </c>
      <c r="L102" s="160">
        <f>190051.7-J102</f>
        <v>89384.800000000017</v>
      </c>
      <c r="M102" s="160">
        <v>139020.9</v>
      </c>
      <c r="N102" s="160">
        <f>329859.6-L102-J102</f>
        <v>139807.89999999997</v>
      </c>
      <c r="O102" s="160">
        <v>197016.5</v>
      </c>
      <c r="P102" s="160">
        <f>515664.8-N102-L102-J102</f>
        <v>185805.19999999998</v>
      </c>
      <c r="Q102" s="135" t="s">
        <v>543</v>
      </c>
      <c r="R102" s="48"/>
      <c r="S102" s="48"/>
    </row>
    <row r="103" spans="1:19" ht="81" customHeight="1" x14ac:dyDescent="0.25">
      <c r="A103" s="162" t="s">
        <v>104</v>
      </c>
      <c r="B103" s="157" t="s">
        <v>245</v>
      </c>
      <c r="C103" s="165"/>
      <c r="D103" s="164" t="s">
        <v>310</v>
      </c>
      <c r="E103" s="158">
        <v>43922</v>
      </c>
      <c r="F103" s="158">
        <v>44012</v>
      </c>
      <c r="G103" s="158">
        <v>43922</v>
      </c>
      <c r="H103" s="158">
        <v>44012</v>
      </c>
      <c r="I103" s="160">
        <v>0</v>
      </c>
      <c r="J103" s="160">
        <v>0</v>
      </c>
      <c r="K103" s="160">
        <v>203.5</v>
      </c>
      <c r="L103" s="160">
        <v>203.5</v>
      </c>
      <c r="M103" s="160">
        <v>0</v>
      </c>
      <c r="N103" s="160">
        <v>0</v>
      </c>
      <c r="O103" s="160">
        <v>0</v>
      </c>
      <c r="P103" s="160">
        <v>0</v>
      </c>
      <c r="Q103" s="157"/>
      <c r="R103" s="48"/>
      <c r="S103" s="48"/>
    </row>
    <row r="104" spans="1:19" ht="408.75" customHeight="1" x14ac:dyDescent="0.25">
      <c r="A104" s="300" t="s">
        <v>48</v>
      </c>
      <c r="B104" s="297" t="s">
        <v>366</v>
      </c>
      <c r="C104" s="301"/>
      <c r="D104" s="302" t="s">
        <v>416</v>
      </c>
      <c r="E104" s="299">
        <v>43839</v>
      </c>
      <c r="F104" s="299">
        <v>44196</v>
      </c>
      <c r="G104" s="299">
        <v>43839</v>
      </c>
      <c r="H104" s="299">
        <v>44196</v>
      </c>
      <c r="I104" s="298">
        <v>458504.1</v>
      </c>
      <c r="J104" s="298">
        <v>481461.6</v>
      </c>
      <c r="K104" s="298">
        <v>448776.5</v>
      </c>
      <c r="L104" s="298">
        <f>957773-J104</f>
        <v>476311.4</v>
      </c>
      <c r="M104" s="298">
        <v>481813.6</v>
      </c>
      <c r="N104" s="298">
        <f>1431487.3-L104-J104</f>
        <v>473714.30000000005</v>
      </c>
      <c r="O104" s="298">
        <v>563838.80000000005</v>
      </c>
      <c r="P104" s="298">
        <f>1912146-N104-L104-J104</f>
        <v>480658.69999999995</v>
      </c>
      <c r="Q104" s="135" t="s">
        <v>542</v>
      </c>
      <c r="R104" s="48"/>
      <c r="S104" s="48"/>
    </row>
    <row r="105" spans="1:19" ht="82.5" customHeight="1" x14ac:dyDescent="0.25">
      <c r="A105" s="300"/>
      <c r="B105" s="297"/>
      <c r="C105" s="301"/>
      <c r="D105" s="302"/>
      <c r="E105" s="308"/>
      <c r="F105" s="308"/>
      <c r="G105" s="299"/>
      <c r="H105" s="308"/>
      <c r="I105" s="298"/>
      <c r="J105" s="298"/>
      <c r="K105" s="298"/>
      <c r="L105" s="298"/>
      <c r="M105" s="298"/>
      <c r="N105" s="298"/>
      <c r="O105" s="298"/>
      <c r="P105" s="298"/>
      <c r="Q105" s="135"/>
      <c r="R105" s="48"/>
      <c r="S105" s="48"/>
    </row>
    <row r="106" spans="1:19" ht="213" customHeight="1" x14ac:dyDescent="0.25">
      <c r="A106" s="300" t="s">
        <v>49</v>
      </c>
      <c r="B106" s="297" t="s">
        <v>329</v>
      </c>
      <c r="C106" s="301"/>
      <c r="D106" s="302" t="s">
        <v>417</v>
      </c>
      <c r="E106" s="299">
        <v>43839</v>
      </c>
      <c r="F106" s="299">
        <v>44196</v>
      </c>
      <c r="G106" s="299">
        <v>43839</v>
      </c>
      <c r="H106" s="299">
        <v>44196</v>
      </c>
      <c r="I106" s="298">
        <v>326201.3</v>
      </c>
      <c r="J106" s="298">
        <v>346837.4</v>
      </c>
      <c r="K106" s="298">
        <v>396443.5</v>
      </c>
      <c r="L106" s="298">
        <f>753965.5-J106</f>
        <v>407128.1</v>
      </c>
      <c r="M106" s="298">
        <v>401497.3</v>
      </c>
      <c r="N106" s="298">
        <f>1138538.1-L106-J106</f>
        <v>384572.60000000009</v>
      </c>
      <c r="O106" s="298">
        <v>548217.30000000005</v>
      </c>
      <c r="P106" s="298">
        <f>1599842.1-N106-L106-J106</f>
        <v>461304</v>
      </c>
      <c r="Q106" s="135" t="s">
        <v>542</v>
      </c>
      <c r="R106" s="48"/>
      <c r="S106" s="48"/>
    </row>
    <row r="107" spans="1:19" ht="199.5" customHeight="1" x14ac:dyDescent="0.25">
      <c r="A107" s="300"/>
      <c r="B107" s="297"/>
      <c r="C107" s="301"/>
      <c r="D107" s="302"/>
      <c r="E107" s="299"/>
      <c r="F107" s="299"/>
      <c r="G107" s="299"/>
      <c r="H107" s="299"/>
      <c r="I107" s="298"/>
      <c r="J107" s="298"/>
      <c r="K107" s="298"/>
      <c r="L107" s="298"/>
      <c r="M107" s="298"/>
      <c r="N107" s="298"/>
      <c r="O107" s="298"/>
      <c r="P107" s="298"/>
      <c r="Q107" s="135"/>
      <c r="R107" s="48"/>
      <c r="S107" s="48"/>
    </row>
    <row r="108" spans="1:19" ht="408.75" customHeight="1" x14ac:dyDescent="0.25">
      <c r="A108" s="300" t="s">
        <v>126</v>
      </c>
      <c r="B108" s="297" t="s">
        <v>246</v>
      </c>
      <c r="C108" s="301"/>
      <c r="D108" s="302" t="s">
        <v>417</v>
      </c>
      <c r="E108" s="299">
        <v>43839</v>
      </c>
      <c r="F108" s="299">
        <v>44196</v>
      </c>
      <c r="G108" s="299">
        <v>43839</v>
      </c>
      <c r="H108" s="299">
        <v>44196</v>
      </c>
      <c r="I108" s="298">
        <v>2025.4</v>
      </c>
      <c r="J108" s="298">
        <v>2066.9</v>
      </c>
      <c r="K108" s="298">
        <v>2114.1999999999998</v>
      </c>
      <c r="L108" s="298">
        <f>4418.3-J108</f>
        <v>2351.4</v>
      </c>
      <c r="M108" s="298">
        <v>2388.1</v>
      </c>
      <c r="N108" s="298">
        <f>6782-L108-J108</f>
        <v>2363.7000000000003</v>
      </c>
      <c r="O108" s="298">
        <v>5824.3</v>
      </c>
      <c r="P108" s="298">
        <f>9204.6-N108-L108-J108</f>
        <v>2422.6</v>
      </c>
      <c r="Q108" s="135" t="s">
        <v>541</v>
      </c>
      <c r="R108" s="48"/>
      <c r="S108" s="48"/>
    </row>
    <row r="109" spans="1:19" ht="24" customHeight="1" x14ac:dyDescent="0.25">
      <c r="A109" s="300"/>
      <c r="B109" s="297"/>
      <c r="C109" s="301"/>
      <c r="D109" s="302"/>
      <c r="E109" s="308"/>
      <c r="F109" s="308"/>
      <c r="G109" s="299"/>
      <c r="H109" s="308"/>
      <c r="I109" s="298"/>
      <c r="J109" s="298"/>
      <c r="K109" s="298"/>
      <c r="L109" s="298"/>
      <c r="M109" s="298"/>
      <c r="N109" s="298"/>
      <c r="O109" s="298"/>
      <c r="P109" s="298"/>
      <c r="Q109" s="135"/>
      <c r="R109" s="48"/>
      <c r="S109" s="48"/>
    </row>
    <row r="110" spans="1:19" ht="409.5" x14ac:dyDescent="0.25">
      <c r="A110" s="162" t="s">
        <v>127</v>
      </c>
      <c r="B110" s="164" t="s">
        <v>257</v>
      </c>
      <c r="C110" s="164"/>
      <c r="D110" s="164" t="s">
        <v>417</v>
      </c>
      <c r="E110" s="158">
        <v>43839</v>
      </c>
      <c r="F110" s="158">
        <v>44196</v>
      </c>
      <c r="G110" s="158">
        <v>43839</v>
      </c>
      <c r="H110" s="167">
        <v>44196</v>
      </c>
      <c r="I110" s="160">
        <v>2077.5</v>
      </c>
      <c r="J110" s="160">
        <v>2134.5</v>
      </c>
      <c r="K110" s="160">
        <v>2776.6</v>
      </c>
      <c r="L110" s="160">
        <f>4938.2-J110</f>
        <v>2803.7</v>
      </c>
      <c r="M110" s="160">
        <v>2806.3</v>
      </c>
      <c r="N110" s="160">
        <f>7753.1-L110-J110</f>
        <v>2814.9000000000005</v>
      </c>
      <c r="O110" s="160">
        <v>7069.8</v>
      </c>
      <c r="P110" s="160">
        <f>10686.7-N110-L110-J110</f>
        <v>2933.6000000000004</v>
      </c>
      <c r="Q110" s="135" t="s">
        <v>540</v>
      </c>
      <c r="R110" s="48"/>
      <c r="S110" s="48"/>
    </row>
    <row r="111" spans="1:19" ht="408.75" customHeight="1" x14ac:dyDescent="0.25">
      <c r="A111" s="162" t="s">
        <v>128</v>
      </c>
      <c r="B111" s="157" t="s">
        <v>247</v>
      </c>
      <c r="C111" s="165"/>
      <c r="D111" s="164" t="s">
        <v>417</v>
      </c>
      <c r="E111" s="158">
        <v>43839</v>
      </c>
      <c r="F111" s="158">
        <v>44196</v>
      </c>
      <c r="G111" s="158">
        <v>43839</v>
      </c>
      <c r="H111" s="167">
        <v>44196</v>
      </c>
      <c r="I111" s="160">
        <v>64699.3</v>
      </c>
      <c r="J111" s="160">
        <v>69173.899999999994</v>
      </c>
      <c r="K111" s="160">
        <v>83844.899999999994</v>
      </c>
      <c r="L111" s="160">
        <f>154938.3-J111</f>
        <v>85764.4</v>
      </c>
      <c r="M111" s="160">
        <v>88772.6</v>
      </c>
      <c r="N111" s="160">
        <f>241991.6-L111-J111</f>
        <v>87053.300000000017</v>
      </c>
      <c r="O111" s="160">
        <v>152498.1</v>
      </c>
      <c r="P111" s="160">
        <f>377149.6-N111-L111-J111</f>
        <v>135157.99999999994</v>
      </c>
      <c r="Q111" s="140" t="s">
        <v>445</v>
      </c>
      <c r="R111" s="48"/>
      <c r="S111" s="48"/>
    </row>
    <row r="112" spans="1:19" ht="291" customHeight="1" x14ac:dyDescent="0.25">
      <c r="A112" s="162" t="s">
        <v>129</v>
      </c>
      <c r="B112" s="164" t="s">
        <v>322</v>
      </c>
      <c r="C112" s="164"/>
      <c r="D112" s="164" t="s">
        <v>399</v>
      </c>
      <c r="E112" s="158">
        <v>43839</v>
      </c>
      <c r="F112" s="158">
        <v>44196</v>
      </c>
      <c r="G112" s="158">
        <v>43839</v>
      </c>
      <c r="H112" s="167">
        <v>44196</v>
      </c>
      <c r="I112" s="160">
        <v>5273.8</v>
      </c>
      <c r="J112" s="160">
        <v>5569.5</v>
      </c>
      <c r="K112" s="160">
        <v>5726.4</v>
      </c>
      <c r="L112" s="160">
        <f>11349.8-J112</f>
        <v>5780.2999999999993</v>
      </c>
      <c r="M112" s="160">
        <v>6338.6</v>
      </c>
      <c r="N112" s="160">
        <f>17632.9-L112-J112</f>
        <v>6283.1000000000022</v>
      </c>
      <c r="O112" s="160">
        <v>10856.4</v>
      </c>
      <c r="P112" s="160">
        <f>27110-N112-L112-J112</f>
        <v>9477.0999999999985</v>
      </c>
      <c r="Q112" s="140" t="s">
        <v>539</v>
      </c>
      <c r="R112" s="48"/>
      <c r="S112" s="48"/>
    </row>
    <row r="113" spans="1:19" ht="312.75" customHeight="1" x14ac:dyDescent="0.25">
      <c r="A113" s="300" t="s">
        <v>130</v>
      </c>
      <c r="B113" s="297" t="s">
        <v>248</v>
      </c>
      <c r="C113" s="301"/>
      <c r="D113" s="302" t="s">
        <v>418</v>
      </c>
      <c r="E113" s="299">
        <v>43839</v>
      </c>
      <c r="F113" s="299">
        <v>44196</v>
      </c>
      <c r="G113" s="299">
        <v>43839</v>
      </c>
      <c r="H113" s="299">
        <v>44196</v>
      </c>
      <c r="I113" s="298">
        <v>32701.9</v>
      </c>
      <c r="J113" s="298">
        <v>34531.4</v>
      </c>
      <c r="K113" s="298">
        <v>39119.199999999997</v>
      </c>
      <c r="L113" s="298">
        <f>75070.3-J113</f>
        <v>40538.9</v>
      </c>
      <c r="M113" s="298">
        <v>42308.7</v>
      </c>
      <c r="N113" s="298">
        <f>116845.2-L113-J113</f>
        <v>41774.899999999987</v>
      </c>
      <c r="O113" s="298">
        <v>69144.2</v>
      </c>
      <c r="P113" s="298">
        <f>175750.1-N113-L113-J113</f>
        <v>58904.900000000016</v>
      </c>
      <c r="Q113" s="297" t="s">
        <v>538</v>
      </c>
      <c r="R113" s="48"/>
      <c r="S113" s="48"/>
    </row>
    <row r="114" spans="1:19" ht="15.75" hidden="1" x14ac:dyDescent="0.25">
      <c r="A114" s="300"/>
      <c r="B114" s="297"/>
      <c r="C114" s="301"/>
      <c r="D114" s="302"/>
      <c r="E114" s="315"/>
      <c r="F114" s="308"/>
      <c r="G114" s="299"/>
      <c r="H114" s="308"/>
      <c r="I114" s="298"/>
      <c r="J114" s="298"/>
      <c r="K114" s="298"/>
      <c r="L114" s="298"/>
      <c r="M114" s="298"/>
      <c r="N114" s="298"/>
      <c r="O114" s="298"/>
      <c r="P114" s="298"/>
      <c r="Q114" s="297"/>
      <c r="R114" s="48"/>
      <c r="S114" s="48"/>
    </row>
    <row r="115" spans="1:19" ht="368.25" customHeight="1" x14ac:dyDescent="0.25">
      <c r="A115" s="162" t="s">
        <v>131</v>
      </c>
      <c r="B115" s="157" t="s">
        <v>378</v>
      </c>
      <c r="C115" s="165"/>
      <c r="D115" s="164" t="s">
        <v>419</v>
      </c>
      <c r="E115" s="158">
        <v>43839</v>
      </c>
      <c r="F115" s="158">
        <v>44196</v>
      </c>
      <c r="G115" s="158">
        <v>43839</v>
      </c>
      <c r="H115" s="167">
        <v>44196</v>
      </c>
      <c r="I115" s="160">
        <v>25.4</v>
      </c>
      <c r="J115" s="160">
        <v>25.4</v>
      </c>
      <c r="K115" s="160">
        <v>105.9</v>
      </c>
      <c r="L115" s="160">
        <f>131.3-J115</f>
        <v>105.9</v>
      </c>
      <c r="M115" s="160">
        <v>43.6</v>
      </c>
      <c r="N115" s="160">
        <f>174.9-L115-J115</f>
        <v>43.6</v>
      </c>
      <c r="O115" s="160">
        <v>730.3</v>
      </c>
      <c r="P115" s="160">
        <f>209.3-N115-L115-J115</f>
        <v>34.400000000000013</v>
      </c>
      <c r="Q115" s="157" t="s">
        <v>537</v>
      </c>
      <c r="R115" s="48"/>
      <c r="S115" s="48"/>
    </row>
    <row r="116" spans="1:19" ht="237.75" customHeight="1" x14ac:dyDescent="0.25">
      <c r="A116" s="300" t="s">
        <v>58</v>
      </c>
      <c r="B116" s="297" t="s">
        <v>249</v>
      </c>
      <c r="C116" s="320"/>
      <c r="D116" s="321" t="s">
        <v>399</v>
      </c>
      <c r="E116" s="299">
        <v>43839</v>
      </c>
      <c r="F116" s="299">
        <v>44196</v>
      </c>
      <c r="G116" s="299">
        <v>43839</v>
      </c>
      <c r="H116" s="299">
        <v>44196</v>
      </c>
      <c r="I116" s="298">
        <v>175</v>
      </c>
      <c r="J116" s="298">
        <v>175</v>
      </c>
      <c r="K116" s="298">
        <v>636.20000000000005</v>
      </c>
      <c r="L116" s="298">
        <f>1529.9-J116</f>
        <v>1354.9</v>
      </c>
      <c r="M116" s="298">
        <v>1824.8</v>
      </c>
      <c r="N116" s="298">
        <f>2636-L116-J116</f>
        <v>1106.0999999999999</v>
      </c>
      <c r="O116" s="298">
        <v>10397.4</v>
      </c>
      <c r="P116" s="298">
        <f>4880.7-N116-L116-J116</f>
        <v>2244.6999999999998</v>
      </c>
      <c r="Q116" s="297" t="s">
        <v>536</v>
      </c>
      <c r="R116" s="48"/>
      <c r="S116" s="48"/>
    </row>
    <row r="117" spans="1:19" ht="116.25" customHeight="1" x14ac:dyDescent="0.25">
      <c r="A117" s="300"/>
      <c r="B117" s="297"/>
      <c r="C117" s="320"/>
      <c r="D117" s="321"/>
      <c r="E117" s="308"/>
      <c r="F117" s="308"/>
      <c r="G117" s="299"/>
      <c r="H117" s="308"/>
      <c r="I117" s="298"/>
      <c r="J117" s="298"/>
      <c r="K117" s="298"/>
      <c r="L117" s="298"/>
      <c r="M117" s="298"/>
      <c r="N117" s="298"/>
      <c r="O117" s="298"/>
      <c r="P117" s="298"/>
      <c r="Q117" s="297"/>
      <c r="R117" s="48"/>
      <c r="S117" s="48"/>
    </row>
    <row r="118" spans="1:19" ht="15.75" hidden="1" x14ac:dyDescent="0.25">
      <c r="A118" s="300"/>
      <c r="B118" s="297"/>
      <c r="C118" s="320"/>
      <c r="D118" s="321"/>
      <c r="E118" s="308"/>
      <c r="F118" s="308"/>
      <c r="G118" s="299"/>
      <c r="H118" s="308"/>
      <c r="I118" s="298"/>
      <c r="J118" s="298"/>
      <c r="K118" s="298"/>
      <c r="L118" s="298"/>
      <c r="M118" s="298"/>
      <c r="N118" s="298"/>
      <c r="O118" s="298"/>
      <c r="P118" s="298"/>
      <c r="Q118" s="297"/>
      <c r="R118" s="48"/>
      <c r="S118" s="48"/>
    </row>
    <row r="119" spans="1:19" ht="141" customHeight="1" x14ac:dyDescent="0.25">
      <c r="A119" s="162"/>
      <c r="B119" s="157" t="s">
        <v>250</v>
      </c>
      <c r="C119" s="165" t="s">
        <v>23</v>
      </c>
      <c r="D119" s="164" t="s">
        <v>420</v>
      </c>
      <c r="E119" s="159" t="s">
        <v>23</v>
      </c>
      <c r="F119" s="158">
        <v>44196</v>
      </c>
      <c r="G119" s="159" t="s">
        <v>23</v>
      </c>
      <c r="H119" s="167">
        <v>44196</v>
      </c>
      <c r="I119" s="160" t="s">
        <v>23</v>
      </c>
      <c r="J119" s="160" t="s">
        <v>23</v>
      </c>
      <c r="K119" s="160" t="s">
        <v>23</v>
      </c>
      <c r="L119" s="160" t="s">
        <v>23</v>
      </c>
      <c r="M119" s="160" t="s">
        <v>23</v>
      </c>
      <c r="N119" s="160" t="s">
        <v>23</v>
      </c>
      <c r="O119" s="160" t="s">
        <v>23</v>
      </c>
      <c r="P119" s="160" t="s">
        <v>23</v>
      </c>
      <c r="Q119" s="163"/>
      <c r="R119" s="48"/>
      <c r="S119" s="48"/>
    </row>
    <row r="120" spans="1:19" ht="250.5" customHeight="1" x14ac:dyDescent="0.25">
      <c r="A120" s="300"/>
      <c r="B120" s="297" t="s">
        <v>251</v>
      </c>
      <c r="C120" s="301" t="s">
        <v>23</v>
      </c>
      <c r="D120" s="302" t="s">
        <v>367</v>
      </c>
      <c r="E120" s="308" t="s">
        <v>23</v>
      </c>
      <c r="F120" s="299">
        <v>44196</v>
      </c>
      <c r="G120" s="308" t="s">
        <v>23</v>
      </c>
      <c r="H120" s="299">
        <v>44196</v>
      </c>
      <c r="I120" s="298" t="s">
        <v>23</v>
      </c>
      <c r="J120" s="298" t="s">
        <v>23</v>
      </c>
      <c r="K120" s="298" t="s">
        <v>23</v>
      </c>
      <c r="L120" s="298" t="s">
        <v>23</v>
      </c>
      <c r="M120" s="298" t="s">
        <v>23</v>
      </c>
      <c r="N120" s="298" t="s">
        <v>23</v>
      </c>
      <c r="O120" s="298" t="s">
        <v>23</v>
      </c>
      <c r="P120" s="298" t="s">
        <v>23</v>
      </c>
      <c r="Q120" s="320"/>
      <c r="R120" s="48"/>
      <c r="S120" s="48"/>
    </row>
    <row r="121" spans="1:19" ht="175.5" customHeight="1" x14ac:dyDescent="0.25">
      <c r="A121" s="300"/>
      <c r="B121" s="297"/>
      <c r="C121" s="301"/>
      <c r="D121" s="302"/>
      <c r="E121" s="308"/>
      <c r="F121" s="299"/>
      <c r="G121" s="308"/>
      <c r="H121" s="299"/>
      <c r="I121" s="298"/>
      <c r="J121" s="298"/>
      <c r="K121" s="298"/>
      <c r="L121" s="298"/>
      <c r="M121" s="298"/>
      <c r="N121" s="298"/>
      <c r="O121" s="298"/>
      <c r="P121" s="298"/>
      <c r="Q121" s="320"/>
      <c r="R121" s="48"/>
      <c r="S121" s="48"/>
    </row>
    <row r="122" spans="1:19" ht="20.25" x14ac:dyDescent="0.3">
      <c r="A122" s="69"/>
      <c r="B122" s="317" t="s">
        <v>252</v>
      </c>
      <c r="C122" s="317"/>
      <c r="D122" s="317"/>
      <c r="E122" s="317"/>
      <c r="F122" s="317"/>
      <c r="G122" s="317"/>
      <c r="H122" s="317"/>
      <c r="I122" s="91">
        <f>I10+I12+I54+I75</f>
        <v>11855805</v>
      </c>
      <c r="J122" s="91">
        <f t="shared" ref="J122:P122" si="4">J12+J54+J75+J11</f>
        <v>11966162.500000002</v>
      </c>
      <c r="K122" s="91">
        <f t="shared" si="4"/>
        <v>12374163.100000001</v>
      </c>
      <c r="L122" s="91">
        <f t="shared" si="4"/>
        <v>13703683.200000001</v>
      </c>
      <c r="M122" s="91">
        <f t="shared" si="4"/>
        <v>20080281.099999998</v>
      </c>
      <c r="N122" s="91">
        <f t="shared" si="4"/>
        <v>19026496.100000001</v>
      </c>
      <c r="O122" s="91">
        <f t="shared" si="4"/>
        <v>20585624</v>
      </c>
      <c r="P122" s="91">
        <f t="shared" si="4"/>
        <v>18807676</v>
      </c>
      <c r="Q122" s="157"/>
      <c r="R122" s="48"/>
      <c r="S122" s="48"/>
    </row>
    <row r="123" spans="1:19" s="128" customFormat="1" ht="116.25" customHeight="1" x14ac:dyDescent="0.25">
      <c r="A123" s="324" t="s">
        <v>467</v>
      </c>
      <c r="B123" s="324"/>
      <c r="C123" s="324"/>
      <c r="D123" s="324"/>
      <c r="E123" s="324"/>
      <c r="F123" s="324"/>
      <c r="G123" s="324"/>
      <c r="H123" s="324"/>
      <c r="I123" s="324"/>
      <c r="J123" s="324"/>
      <c r="K123" s="324"/>
      <c r="L123" s="324"/>
      <c r="M123" s="324"/>
      <c r="N123" s="324"/>
      <c r="O123" s="324"/>
      <c r="P123" s="324"/>
      <c r="Q123" s="324"/>
      <c r="R123" s="48"/>
      <c r="S123" s="48"/>
    </row>
    <row r="124" spans="1:19" s="128" customFormat="1" ht="30.75" customHeight="1" x14ac:dyDescent="0.25">
      <c r="A124" s="319"/>
      <c r="B124" s="319"/>
      <c r="C124" s="319"/>
      <c r="D124" s="319"/>
      <c r="E124" s="319"/>
      <c r="F124" s="319"/>
      <c r="G124" s="319"/>
      <c r="H124" s="319"/>
      <c r="I124" s="319"/>
      <c r="J124" s="319"/>
      <c r="K124" s="319"/>
      <c r="L124" s="319"/>
      <c r="M124" s="319"/>
      <c r="N124" s="319"/>
      <c r="O124" s="319"/>
      <c r="P124" s="319"/>
      <c r="Q124" s="319"/>
      <c r="R124" s="48"/>
      <c r="S124" s="48"/>
    </row>
    <row r="125" spans="1:19" s="128" customFormat="1" ht="23.25" x14ac:dyDescent="0.35">
      <c r="A125" s="318" t="s">
        <v>520</v>
      </c>
      <c r="B125" s="318"/>
      <c r="C125" s="318"/>
      <c r="D125" s="318"/>
      <c r="E125" s="70"/>
      <c r="F125" s="70"/>
      <c r="G125" s="70"/>
      <c r="H125" s="169"/>
      <c r="I125" s="71"/>
      <c r="J125" s="71"/>
      <c r="K125" s="71"/>
      <c r="L125" s="71"/>
      <c r="M125" s="71"/>
      <c r="N125" s="71"/>
      <c r="O125" s="71"/>
      <c r="P125" s="71"/>
      <c r="Q125" s="67"/>
      <c r="R125" s="48"/>
      <c r="S125" s="48"/>
    </row>
    <row r="126" spans="1:19" s="128" customFormat="1" ht="27.75" x14ac:dyDescent="0.4">
      <c r="A126" s="318"/>
      <c r="B126" s="318"/>
      <c r="C126" s="318"/>
      <c r="D126" s="318"/>
      <c r="E126" s="53"/>
      <c r="F126" s="53"/>
      <c r="G126" s="53"/>
      <c r="H126" s="166"/>
      <c r="I126" s="72"/>
      <c r="J126" s="72"/>
      <c r="K126" s="72"/>
      <c r="L126" s="72"/>
      <c r="M126" s="72"/>
      <c r="N126" s="72"/>
      <c r="O126" s="72"/>
      <c r="P126" s="72"/>
      <c r="Q126" s="153" t="s">
        <v>476</v>
      </c>
      <c r="R126" s="48"/>
      <c r="S126" s="48"/>
    </row>
    <row r="127" spans="1:19" x14ac:dyDescent="0.3">
      <c r="A127" s="53"/>
      <c r="B127" s="53"/>
      <c r="C127" s="53"/>
      <c r="D127" s="52"/>
      <c r="E127" s="53"/>
      <c r="F127" s="53"/>
      <c r="G127" s="53"/>
      <c r="H127" s="166"/>
      <c r="I127" s="72"/>
      <c r="J127" s="72"/>
      <c r="K127" s="72"/>
      <c r="L127" s="72"/>
      <c r="M127" s="72"/>
      <c r="N127" s="72"/>
      <c r="O127" s="72"/>
      <c r="P127" s="72"/>
      <c r="Q127" s="53"/>
      <c r="R127" s="48"/>
      <c r="S127" s="48"/>
    </row>
    <row r="128" spans="1:19" x14ac:dyDescent="0.3">
      <c r="A128" s="126"/>
      <c r="B128" s="73"/>
      <c r="C128" s="61"/>
      <c r="D128" s="117"/>
      <c r="E128" s="61"/>
      <c r="F128" s="61"/>
      <c r="G128" s="61"/>
      <c r="H128" s="170"/>
      <c r="I128" s="72"/>
      <c r="J128" s="72"/>
      <c r="K128" s="72"/>
      <c r="L128" s="72"/>
      <c r="M128" s="72"/>
      <c r="N128" s="72"/>
      <c r="O128" s="72"/>
      <c r="P128" s="72"/>
      <c r="Q128" s="67"/>
      <c r="R128" s="48"/>
      <c r="S128" s="48"/>
    </row>
    <row r="132" spans="1:14" x14ac:dyDescent="0.3">
      <c r="A132" s="316" t="s">
        <v>421</v>
      </c>
      <c r="B132" s="316"/>
      <c r="N132" s="56"/>
    </row>
    <row r="133" spans="1:14" x14ac:dyDescent="0.3">
      <c r="A133" s="316"/>
      <c r="B133" s="316"/>
      <c r="N133" s="56"/>
    </row>
    <row r="134" spans="1:14" x14ac:dyDescent="0.3">
      <c r="A134" s="316"/>
      <c r="B134" s="316"/>
      <c r="N134" s="56"/>
    </row>
    <row r="135" spans="1:14" x14ac:dyDescent="0.3">
      <c r="A135" s="316"/>
      <c r="B135" s="316"/>
    </row>
    <row r="148" ht="15" customHeight="1" x14ac:dyDescent="0.3"/>
    <row r="149" ht="15" customHeight="1" x14ac:dyDescent="0.3"/>
  </sheetData>
  <protectedRanges>
    <protectedRange sqref="N1:N9 N11 N76:N81 N13:N53 N56:N74 N83:N128" name="Диапазон1"/>
  </protectedRanges>
  <autoFilter ref="A9:Q126"/>
  <customSheetViews>
    <customSheetView guid="{DAA129B7-49F7-47F4-BBAF-F3BC13A03360}" scale="55" showPageBreaks="1" fitToPage="1" printArea="1" showAutoFilter="1" hiddenRows="1" view="pageBreakPreview" topLeftCell="A7">
      <pane xSplit="1" topLeftCell="B1" activePane="topRight" state="frozen"/>
      <selection pane="topRight" activeCell="E11" sqref="E11"/>
      <colBreaks count="1" manualBreakCount="1">
        <brk id="17" max="1048575" man="1"/>
      </colBreaks>
      <pageMargins left="0.70866141732283472" right="0.70866141732283472" top="0.74803149606299213" bottom="0.74803149606299213" header="0.31496062992125984" footer="0.31496062992125984"/>
      <pageSetup paperSize="9" scale="35" fitToHeight="0" orientation="landscape" r:id="rId1"/>
      <autoFilter ref="A9:Q126"/>
    </customSheetView>
    <customSheetView guid="{9C37FF47-DD3C-484B-9633-D678A759C142}" scale="55" showPageBreaks="1" fitToPage="1" printArea="1" showAutoFilter="1" hiddenRows="1" view="pageBreakPreview" topLeftCell="A53">
      <pane xSplit="1" topLeftCell="B1" activePane="topRight" state="frozen"/>
      <selection pane="topRight" activeCell="J54" activeCellId="3" sqref="P54 N54 L54 J54"/>
      <rowBreaks count="1" manualBreakCount="1">
        <brk id="136" max="16" man="1"/>
      </rowBreaks>
      <colBreaks count="1" manualBreakCount="1">
        <brk id="17" max="1048575" man="1"/>
      </colBreaks>
      <pageMargins left="0.70866141732283472" right="0.70866141732283472" top="0.74803149606299213" bottom="0.74803149606299213" header="0.31496062992125984" footer="0.31496062992125984"/>
      <pageSetup paperSize="9" scale="35" fitToHeight="0" orientation="landscape" r:id="rId2"/>
      <autoFilter ref="A9:Q126"/>
    </customSheetView>
  </customSheetViews>
  <mergeCells count="275">
    <mergeCell ref="Q42:Q43"/>
    <mergeCell ref="A123:Q123"/>
    <mergeCell ref="Q116:Q118"/>
    <mergeCell ref="F116:F118"/>
    <mergeCell ref="G116:G118"/>
    <mergeCell ref="H116:H118"/>
    <mergeCell ref="I116:I118"/>
    <mergeCell ref="J116:J118"/>
    <mergeCell ref="K116:K118"/>
    <mergeCell ref="P113:P114"/>
    <mergeCell ref="P116:P118"/>
    <mergeCell ref="I120:I121"/>
    <mergeCell ref="H120:H121"/>
    <mergeCell ref="G120:G121"/>
    <mergeCell ref="F120:F121"/>
    <mergeCell ref="C120:C121"/>
    <mergeCell ref="B120:B121"/>
    <mergeCell ref="Q113:Q114"/>
    <mergeCell ref="F113:F114"/>
    <mergeCell ref="G113:G114"/>
    <mergeCell ref="H113:H114"/>
    <mergeCell ref="I113:I114"/>
    <mergeCell ref="J113:J114"/>
    <mergeCell ref="K113:K114"/>
    <mergeCell ref="A132:B135"/>
    <mergeCell ref="B122:H122"/>
    <mergeCell ref="A125:D126"/>
    <mergeCell ref="A124:Q124"/>
    <mergeCell ref="A116:A118"/>
    <mergeCell ref="B116:B118"/>
    <mergeCell ref="C116:C118"/>
    <mergeCell ref="D116:D118"/>
    <mergeCell ref="E116:E118"/>
    <mergeCell ref="E120:E121"/>
    <mergeCell ref="Q120:Q121"/>
    <mergeCell ref="P120:P121"/>
    <mergeCell ref="O120:O121"/>
    <mergeCell ref="N120:N121"/>
    <mergeCell ref="M120:M121"/>
    <mergeCell ref="L120:L121"/>
    <mergeCell ref="K120:K121"/>
    <mergeCell ref="J120:J121"/>
    <mergeCell ref="D120:D121"/>
    <mergeCell ref="A120:A121"/>
    <mergeCell ref="L116:L118"/>
    <mergeCell ref="M116:M118"/>
    <mergeCell ref="N116:N118"/>
    <mergeCell ref="O116:O118"/>
    <mergeCell ref="A113:A114"/>
    <mergeCell ref="B113:B114"/>
    <mergeCell ref="C113:C114"/>
    <mergeCell ref="D113:D114"/>
    <mergeCell ref="E113:E114"/>
    <mergeCell ref="L113:L114"/>
    <mergeCell ref="M113:M114"/>
    <mergeCell ref="N113:N114"/>
    <mergeCell ref="O113:O114"/>
    <mergeCell ref="L108:L109"/>
    <mergeCell ref="M108:M109"/>
    <mergeCell ref="N108:N109"/>
    <mergeCell ref="O108:O109"/>
    <mergeCell ref="P108:P109"/>
    <mergeCell ref="F108:F109"/>
    <mergeCell ref="G108:G109"/>
    <mergeCell ref="H108:H109"/>
    <mergeCell ref="I108:I109"/>
    <mergeCell ref="J108:J109"/>
    <mergeCell ref="K108:K109"/>
    <mergeCell ref="O104:O105"/>
    <mergeCell ref="P104:P105"/>
    <mergeCell ref="K104:K105"/>
    <mergeCell ref="L104:L105"/>
    <mergeCell ref="A108:A109"/>
    <mergeCell ref="B108:B109"/>
    <mergeCell ref="C108:C109"/>
    <mergeCell ref="D108:D109"/>
    <mergeCell ref="E108:E109"/>
    <mergeCell ref="G104:G105"/>
    <mergeCell ref="H104:H105"/>
    <mergeCell ref="I104:I105"/>
    <mergeCell ref="J104:J105"/>
    <mergeCell ref="A104:A105"/>
    <mergeCell ref="B104:B105"/>
    <mergeCell ref="C104:C105"/>
    <mergeCell ref="D104:D105"/>
    <mergeCell ref="E104:E105"/>
    <mergeCell ref="F104:F105"/>
    <mergeCell ref="A106:A107"/>
    <mergeCell ref="C106:C107"/>
    <mergeCell ref="J106:J107"/>
    <mergeCell ref="I106:I107"/>
    <mergeCell ref="H106:H107"/>
    <mergeCell ref="A94:A95"/>
    <mergeCell ref="B94:B95"/>
    <mergeCell ref="C94:C95"/>
    <mergeCell ref="D94:D95"/>
    <mergeCell ref="E94:E95"/>
    <mergeCell ref="P90:P91"/>
    <mergeCell ref="H90:H91"/>
    <mergeCell ref="I90:I91"/>
    <mergeCell ref="J90:J91"/>
    <mergeCell ref="K90:K91"/>
    <mergeCell ref="L90:L91"/>
    <mergeCell ref="M90:M91"/>
    <mergeCell ref="A90:A91"/>
    <mergeCell ref="B90:B91"/>
    <mergeCell ref="C90:C91"/>
    <mergeCell ref="D90:D91"/>
    <mergeCell ref="E90:E91"/>
    <mergeCell ref="F90:F91"/>
    <mergeCell ref="G90:G91"/>
    <mergeCell ref="L94:L95"/>
    <mergeCell ref="M94:M95"/>
    <mergeCell ref="N94:N95"/>
    <mergeCell ref="Q79:Q80"/>
    <mergeCell ref="B85:B86"/>
    <mergeCell ref="C85:C86"/>
    <mergeCell ref="D85:D86"/>
    <mergeCell ref="E85:E86"/>
    <mergeCell ref="F85:F86"/>
    <mergeCell ref="G85:G86"/>
    <mergeCell ref="H85:H86"/>
    <mergeCell ref="I79:I80"/>
    <mergeCell ref="J79:J80"/>
    <mergeCell ref="K79:K80"/>
    <mergeCell ref="L79:L80"/>
    <mergeCell ref="M79:M80"/>
    <mergeCell ref="N79:N80"/>
    <mergeCell ref="O85:O86"/>
    <mergeCell ref="P85:P86"/>
    <mergeCell ref="Q85:Q86"/>
    <mergeCell ref="K85:K86"/>
    <mergeCell ref="L85:L86"/>
    <mergeCell ref="M85:M86"/>
    <mergeCell ref="J85:J86"/>
    <mergeCell ref="O79:O80"/>
    <mergeCell ref="A79:A80"/>
    <mergeCell ref="B79:B80"/>
    <mergeCell ref="C79:C80"/>
    <mergeCell ref="D79:D80"/>
    <mergeCell ref="E79:E80"/>
    <mergeCell ref="F79:F80"/>
    <mergeCell ref="G79:G80"/>
    <mergeCell ref="H79:H80"/>
    <mergeCell ref="I85:I86"/>
    <mergeCell ref="A85:A86"/>
    <mergeCell ref="Q36:Q37"/>
    <mergeCell ref="F36:F37"/>
    <mergeCell ref="G36:G37"/>
    <mergeCell ref="H36:H37"/>
    <mergeCell ref="I36:I37"/>
    <mergeCell ref="J36:J37"/>
    <mergeCell ref="K36:K37"/>
    <mergeCell ref="Q30:Q31"/>
    <mergeCell ref="L30:L31"/>
    <mergeCell ref="K30:K31"/>
    <mergeCell ref="J30:J31"/>
    <mergeCell ref="I30:I31"/>
    <mergeCell ref="L36:L37"/>
    <mergeCell ref="M36:M37"/>
    <mergeCell ref="H30:H31"/>
    <mergeCell ref="F30:F31"/>
    <mergeCell ref="G30:G31"/>
    <mergeCell ref="P30:P31"/>
    <mergeCell ref="Q24:Q25"/>
    <mergeCell ref="H24:H25"/>
    <mergeCell ref="I24:I25"/>
    <mergeCell ref="J24:J25"/>
    <mergeCell ref="K24:K25"/>
    <mergeCell ref="L24:L25"/>
    <mergeCell ref="M24:M25"/>
    <mergeCell ref="Q6:Q8"/>
    <mergeCell ref="I7:J7"/>
    <mergeCell ref="K7:L7"/>
    <mergeCell ref="M7:N7"/>
    <mergeCell ref="O7:P7"/>
    <mergeCell ref="H6:H8"/>
    <mergeCell ref="I6:P6"/>
    <mergeCell ref="B12:H12"/>
    <mergeCell ref="N24:N25"/>
    <mergeCell ref="O24:O25"/>
    <mergeCell ref="B24:B25"/>
    <mergeCell ref="C24:C25"/>
    <mergeCell ref="D24:D25"/>
    <mergeCell ref="E24:E25"/>
    <mergeCell ref="F24:F25"/>
    <mergeCell ref="G24:G25"/>
    <mergeCell ref="P24:P25"/>
    <mergeCell ref="A30:A31"/>
    <mergeCell ref="B30:B31"/>
    <mergeCell ref="A36:A37"/>
    <mergeCell ref="B36:B37"/>
    <mergeCell ref="C36:C37"/>
    <mergeCell ref="D36:D37"/>
    <mergeCell ref="E36:E37"/>
    <mergeCell ref="A42:A44"/>
    <mergeCell ref="D42:D44"/>
    <mergeCell ref="C42:C44"/>
    <mergeCell ref="B42:B44"/>
    <mergeCell ref="E42:E44"/>
    <mergeCell ref="D106:D107"/>
    <mergeCell ref="C30:C31"/>
    <mergeCell ref="I42:I44"/>
    <mergeCell ref="G42:G44"/>
    <mergeCell ref="F42:F44"/>
    <mergeCell ref="F87:F88"/>
    <mergeCell ref="E87:E88"/>
    <mergeCell ref="D87:D88"/>
    <mergeCell ref="B54:H54"/>
    <mergeCell ref="G106:G107"/>
    <mergeCell ref="F106:F107"/>
    <mergeCell ref="E106:E107"/>
    <mergeCell ref="P42:P44"/>
    <mergeCell ref="O42:O44"/>
    <mergeCell ref="N42:N44"/>
    <mergeCell ref="M42:M44"/>
    <mergeCell ref="L42:L44"/>
    <mergeCell ref="F94:F95"/>
    <mergeCell ref="G94:G95"/>
    <mergeCell ref="H94:H95"/>
    <mergeCell ref="I94:I95"/>
    <mergeCell ref="K42:K44"/>
    <mergeCell ref="J42:J44"/>
    <mergeCell ref="N90:N91"/>
    <mergeCell ref="O90:O91"/>
    <mergeCell ref="P79:P80"/>
    <mergeCell ref="M87:M88"/>
    <mergeCell ref="A87:A88"/>
    <mergeCell ref="C87:C88"/>
    <mergeCell ref="D30:D31"/>
    <mergeCell ref="B1:P1"/>
    <mergeCell ref="B2:P2"/>
    <mergeCell ref="B3:P3"/>
    <mergeCell ref="B4:P4"/>
    <mergeCell ref="N30:N31"/>
    <mergeCell ref="O30:O31"/>
    <mergeCell ref="A24:A25"/>
    <mergeCell ref="A6:A8"/>
    <mergeCell ref="O36:O37"/>
    <mergeCell ref="P36:P37"/>
    <mergeCell ref="N36:N37"/>
    <mergeCell ref="M30:M31"/>
    <mergeCell ref="C6:C8"/>
    <mergeCell ref="B6:B8"/>
    <mergeCell ref="D6:D8"/>
    <mergeCell ref="E6:E8"/>
    <mergeCell ref="F6:F8"/>
    <mergeCell ref="G6:G8"/>
    <mergeCell ref="E30:E31"/>
    <mergeCell ref="N85:N86"/>
    <mergeCell ref="B75:H75"/>
    <mergeCell ref="Q87:Q88"/>
    <mergeCell ref="P87:P88"/>
    <mergeCell ref="O87:O88"/>
    <mergeCell ref="N87:N88"/>
    <mergeCell ref="B87:B88"/>
    <mergeCell ref="B106:B107"/>
    <mergeCell ref="P106:P107"/>
    <mergeCell ref="O106:O107"/>
    <mergeCell ref="N106:N107"/>
    <mergeCell ref="M106:M107"/>
    <mergeCell ref="L106:L107"/>
    <mergeCell ref="K106:K107"/>
    <mergeCell ref="L87:L88"/>
    <mergeCell ref="K87:K88"/>
    <mergeCell ref="J87:J88"/>
    <mergeCell ref="I87:I88"/>
    <mergeCell ref="H87:H88"/>
    <mergeCell ref="G87:G88"/>
    <mergeCell ref="O94:O95"/>
    <mergeCell ref="P94:P95"/>
    <mergeCell ref="J94:J95"/>
    <mergeCell ref="K94:K95"/>
    <mergeCell ref="M104:M105"/>
    <mergeCell ref="N104:N105"/>
  </mergeCells>
  <hyperlinks>
    <hyperlink ref="C6" r:id="rId3" display="consultantplus://offline/ref=296E051552D9B0DE54C4EEA366783458DCF3E2F270B1C5BE0EE0B1036681A6753D4434517D8E791EF555ABSAVCG"/>
  </hyperlinks>
  <pageMargins left="0.70866141732283472" right="0.70866141732283472" top="0.74803149606299213" bottom="0.74803149606299213" header="0.31496062992125984" footer="0.31496062992125984"/>
  <pageSetup paperSize="9" scale="35" fitToHeight="0" orientation="landscape" r:id="rId4"/>
  <rowBreaks count="1" manualBreakCount="1">
    <brk id="136"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Финансирование</vt:lpstr>
      <vt:lpstr>Показатели, Критерии</vt:lpstr>
      <vt:lpstr>План реализации</vt:lpstr>
      <vt:lpstr>'План реализации'!Заголовки_для_печати</vt:lpstr>
      <vt:lpstr>'Показатели, Критерии'!Заголовки_для_печати</vt:lpstr>
      <vt:lpstr>Финансирование!Заголовки_для_печати</vt:lpstr>
      <vt:lpstr>'План реализации'!Область_печати</vt:lpstr>
      <vt:lpstr>'Показатели, Критерии'!Область_печати</vt:lpstr>
      <vt:lpstr>Финансирование!Область_печати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Габриэлян Владислав Александрович</cp:lastModifiedBy>
  <cp:lastPrinted>2021-04-09T13:29:01Z</cp:lastPrinted>
  <dcterms:created xsi:type="dcterms:W3CDTF">2006-09-16T00:00:00Z</dcterms:created>
  <dcterms:modified xsi:type="dcterms:W3CDTF">2021-04-13T15:16:58Z</dcterms:modified>
</cp:coreProperties>
</file>