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tsr-ser18\нац проекты\!ГОСПРОГРАММЫ\ПРОВЕРКИ\2021\КСП апрель\СПГ\"/>
    </mc:Choice>
  </mc:AlternateContent>
  <bookViews>
    <workbookView xWindow="15270" yWindow="3450" windowWidth="14565" windowHeight="12585"/>
  </bookViews>
  <sheets>
    <sheet name="Финансирование" sheetId="1" r:id="rId1"/>
    <sheet name="Показатели, Критерии" sheetId="2" r:id="rId2"/>
    <sheet name="План реализации" sheetId="3" r:id="rId3"/>
  </sheets>
  <definedNames>
    <definedName name="_xlnm._FilterDatabase" localSheetId="2" hidden="1">'План реализации'!$A$9:$Q$9</definedName>
    <definedName name="Z_9C37FF47_DD3C_484B_9633_D678A759C142_.wvu.Cols" localSheetId="0" hidden="1">Финансирование!$AB:$AO,Финансирование!#REF!</definedName>
    <definedName name="Z_9C37FF47_DD3C_484B_9633_D678A759C142_.wvu.FilterData" localSheetId="2" hidden="1">'План реализации'!$A$9:$Q$9</definedName>
    <definedName name="Z_9C37FF47_DD3C_484B_9633_D678A759C142_.wvu.PrintArea" localSheetId="2" hidden="1">'План реализации'!$A$1:$Q$136</definedName>
    <definedName name="Z_9C37FF47_DD3C_484B_9633_D678A759C142_.wvu.PrintArea" localSheetId="1" hidden="1">'Показатели, Критерии'!$A$1:$G$48</definedName>
    <definedName name="Z_9C37FF47_DD3C_484B_9633_D678A759C142_.wvu.PrintArea" localSheetId="0" hidden="1">Финансирование!$A$1:$AA$176</definedName>
    <definedName name="Z_9C37FF47_DD3C_484B_9633_D678A759C142_.wvu.PrintTitles" localSheetId="2" hidden="1">'План реализации'!$9:$9</definedName>
    <definedName name="Z_9C37FF47_DD3C_484B_9633_D678A759C142_.wvu.PrintTitles" localSheetId="1" hidden="1">'Показатели, Критерии'!$9:$9</definedName>
    <definedName name="Z_9C37FF47_DD3C_484B_9633_D678A759C142_.wvu.PrintTitles" localSheetId="0" hidden="1">Финансирование!$10:$10</definedName>
    <definedName name="Z_9C37FF47_DD3C_484B_9633_D678A759C142_.wvu.Rows" localSheetId="2" hidden="1">'План реализации'!$25:$25,'План реализации'!$114:$114,'План реализации'!$118:$118</definedName>
    <definedName name="Z_9C37FF47_DD3C_484B_9633_D678A759C142_.wvu.Rows" localSheetId="0" hidden="1">Финансирование!$32:$32,Финансирование!$85:$85</definedName>
    <definedName name="Z_DAA129B7_49F7_47F4_BBAF_F3BC13A03360_.wvu.Cols" localSheetId="0" hidden="1">Финансирование!$AB:$AO,Финансирование!#REF!</definedName>
    <definedName name="Z_DAA129B7_49F7_47F4_BBAF_F3BC13A03360_.wvu.FilterData" localSheetId="2" hidden="1">'План реализации'!$A$9:$Q$9</definedName>
    <definedName name="Z_DAA129B7_49F7_47F4_BBAF_F3BC13A03360_.wvu.PrintArea" localSheetId="2" hidden="1">'План реализации'!$A$1:$Q$135</definedName>
    <definedName name="Z_DAA129B7_49F7_47F4_BBAF_F3BC13A03360_.wvu.PrintArea" localSheetId="1" hidden="1">'Показатели, Критерии'!$A$1:$G$56</definedName>
    <definedName name="Z_DAA129B7_49F7_47F4_BBAF_F3BC13A03360_.wvu.PrintArea" localSheetId="0" hidden="1">Финансирование!$A$1:$AA$162</definedName>
    <definedName name="Z_DAA129B7_49F7_47F4_BBAF_F3BC13A03360_.wvu.PrintTitles" localSheetId="2" hidden="1">'План реализации'!$9:$9</definedName>
    <definedName name="Z_DAA129B7_49F7_47F4_BBAF_F3BC13A03360_.wvu.PrintTitles" localSheetId="1" hidden="1">'Показатели, Критерии'!$9:$9</definedName>
    <definedName name="Z_DAA129B7_49F7_47F4_BBAF_F3BC13A03360_.wvu.PrintTitles" localSheetId="0" hidden="1">Финансирование!$10:$10</definedName>
    <definedName name="Z_DAA129B7_49F7_47F4_BBAF_F3BC13A03360_.wvu.Rows" localSheetId="2" hidden="1">'План реализации'!$25:$25,'План реализации'!$114:$114,'План реализации'!$118:$118</definedName>
    <definedName name="Z_DAA129B7_49F7_47F4_BBAF_F3BC13A03360_.wvu.Rows" localSheetId="0" hidden="1">Финансирование!$32:$32,Финансирование!$85:$85</definedName>
    <definedName name="_xlnm.Print_Titles" localSheetId="2">'План реализации'!$9:$9</definedName>
    <definedName name="_xlnm.Print_Titles" localSheetId="1">'Показатели, Критерии'!$9:$9</definedName>
    <definedName name="_xlnm.Print_Titles" localSheetId="0">Финансирование!$10:$10</definedName>
    <definedName name="_xlnm.Print_Area" localSheetId="2">'План реализации'!$A$1:$Q$136</definedName>
    <definedName name="_xlnm.Print_Area" localSheetId="1">'Показатели, Критерии'!$A$1:$G$52</definedName>
    <definedName name="_xlnm.Print_Area" localSheetId="0">Финансирование!$A$1:$AA$186</definedName>
  </definedNames>
  <calcPr calcId="152511"/>
  <customWorkbookViews>
    <customWorkbookView name="Габриэлян Владислав Александрович - Личное представление" guid="{DAA129B7-49F7-47F4-BBAF-F3BC13A03360}" mergeInterval="0" personalView="1" maximized="1" xWindow="-8" yWindow="-8" windowWidth="1696" windowHeight="1026" activeSheetId="1"/>
    <customWorkbookView name="Тришкин Данил Олегович - Личное представление" guid="{9C37FF47-DD3C-484B-9633-D678A759C142}" mergeInterval="0" personalView="1" maximized="1" xWindow="-8" yWindow="-8" windowWidth="1936" windowHeight="1056" activeSheetId="1"/>
  </customWorkbookViews>
</workbook>
</file>

<file path=xl/calcChain.xml><?xml version="1.0" encoding="utf-8"?>
<calcChain xmlns="http://schemas.openxmlformats.org/spreadsheetml/2006/main">
  <c r="AC85" i="1" l="1"/>
  <c r="K63" i="1" l="1"/>
  <c r="K62" i="1" s="1"/>
  <c r="P62" i="1"/>
  <c r="K86" i="1" l="1"/>
  <c r="K82" i="1"/>
  <c r="K80" i="1"/>
  <c r="K67" i="1"/>
  <c r="K65" i="1" s="1"/>
  <c r="P80" i="1" l="1"/>
  <c r="T62" i="1"/>
  <c r="P67" i="1"/>
  <c r="P65" i="1" s="1"/>
  <c r="P64" i="3" l="1"/>
  <c r="P61" i="1" l="1"/>
  <c r="T86" i="1" l="1"/>
  <c r="T65" i="1"/>
  <c r="T21" i="1"/>
  <c r="Y87" i="1" l="1"/>
  <c r="P98" i="3" l="1"/>
  <c r="N79" i="1" l="1"/>
  <c r="P50" i="3" l="1"/>
  <c r="P49" i="3"/>
  <c r="P48" i="3"/>
  <c r="P33" i="3"/>
  <c r="P34" i="3"/>
  <c r="L22" i="3"/>
  <c r="N22" i="3" s="1"/>
  <c r="P22" i="3" s="1"/>
  <c r="K98" i="1" l="1"/>
  <c r="P14" i="1" l="1"/>
  <c r="N14" i="1"/>
  <c r="I14" i="1"/>
  <c r="K14" i="1"/>
  <c r="O12" i="3" l="1"/>
  <c r="J55" i="3" l="1"/>
  <c r="T14" i="1" l="1"/>
  <c r="L11" i="3" l="1"/>
  <c r="N11" i="3" s="1"/>
  <c r="P11" i="3" s="1"/>
  <c r="P10" i="3" l="1"/>
  <c r="AB81" i="1" l="1"/>
  <c r="AH13" i="1" l="1"/>
  <c r="AB119" i="1" l="1"/>
  <c r="AB118" i="1"/>
  <c r="AB117" i="1"/>
  <c r="AB115" i="1"/>
  <c r="AB113" i="1"/>
  <c r="AB111" i="1"/>
  <c r="AB109" i="1"/>
  <c r="AB107" i="1"/>
  <c r="AB104" i="1"/>
  <c r="AB105" i="1"/>
  <c r="AB103" i="1"/>
  <c r="AB102" i="1"/>
  <c r="AB101" i="1"/>
  <c r="AB100" i="1"/>
  <c r="AB97" i="1"/>
  <c r="AB96" i="1"/>
  <c r="AB94" i="1"/>
  <c r="AB93" i="1"/>
  <c r="AB92" i="1"/>
  <c r="AB91" i="1"/>
  <c r="AB89" i="1"/>
  <c r="AB87" i="1"/>
  <c r="AB84" i="1"/>
  <c r="AB64" i="1"/>
  <c r="AB66" i="1"/>
  <c r="AB68" i="1"/>
  <c r="AB69" i="1"/>
  <c r="AB70" i="1"/>
  <c r="AB71" i="1"/>
  <c r="AB72" i="1"/>
  <c r="AB73" i="1"/>
  <c r="AB74" i="1"/>
  <c r="AB75" i="1"/>
  <c r="AB76" i="1"/>
  <c r="AB77" i="1"/>
  <c r="AB78" i="1"/>
  <c r="AB60" i="1"/>
  <c r="AB57" i="1"/>
  <c r="AB56" i="1"/>
  <c r="AB55" i="1"/>
  <c r="AB53" i="1"/>
  <c r="AB49" i="1"/>
  <c r="AB47" i="1"/>
  <c r="AB46" i="1"/>
  <c r="AB44" i="1"/>
  <c r="AB42" i="1"/>
  <c r="AB41" i="1"/>
  <c r="AB40" i="1"/>
  <c r="AB36" i="1"/>
  <c r="AB33" i="1"/>
  <c r="AB31" i="1"/>
  <c r="AB29" i="1"/>
  <c r="AB28" i="1"/>
  <c r="AB27" i="1"/>
  <c r="AB26" i="1"/>
  <c r="AB23" i="1"/>
  <c r="AB22" i="1"/>
  <c r="AB21" i="1"/>
  <c r="AB20" i="1"/>
  <c r="AB19" i="1"/>
  <c r="AB18" i="1"/>
  <c r="AB17" i="1"/>
  <c r="AC16" i="1"/>
  <c r="AC15" i="1"/>
  <c r="AC25" i="1" l="1"/>
  <c r="AC24" i="1" l="1"/>
  <c r="N66" i="3" l="1"/>
  <c r="P66" i="3" s="1"/>
  <c r="AJ119" i="1" l="1"/>
  <c r="AJ118" i="1"/>
  <c r="AJ117" i="1"/>
  <c r="AJ115" i="1"/>
  <c r="AJ113" i="1"/>
  <c r="AJ111" i="1"/>
  <c r="AJ109" i="1"/>
  <c r="AJ107" i="1"/>
  <c r="AJ105" i="1"/>
  <c r="AJ103" i="1"/>
  <c r="AJ102" i="1"/>
  <c r="AJ101" i="1"/>
  <c r="AJ100" i="1"/>
  <c r="AJ99" i="1"/>
  <c r="AJ97" i="1"/>
  <c r="AJ96" i="1"/>
  <c r="AJ94" i="1"/>
  <c r="AJ93" i="1"/>
  <c r="AJ92" i="1"/>
  <c r="AJ91" i="1"/>
  <c r="AJ89" i="1"/>
  <c r="AJ88" i="1" l="1"/>
  <c r="AJ87" i="1"/>
  <c r="AJ84" i="1"/>
  <c r="AJ81" i="1"/>
  <c r="AJ75" i="1" l="1"/>
  <c r="AJ71" i="1"/>
  <c r="AJ69" i="1"/>
  <c r="AJ70" i="1"/>
  <c r="AJ68" i="1"/>
  <c r="AJ66" i="1"/>
  <c r="AJ64" i="1"/>
  <c r="AJ60" i="1"/>
  <c r="AJ56" i="1"/>
  <c r="AJ55" i="1"/>
  <c r="AJ53" i="1"/>
  <c r="AJ49" i="1"/>
  <c r="AJ47" i="1"/>
  <c r="AJ46" i="1"/>
  <c r="AJ44" i="1"/>
  <c r="AJ42" i="1"/>
  <c r="AJ41" i="1"/>
  <c r="AJ40" i="1"/>
  <c r="AJ38" i="1"/>
  <c r="AJ36" i="1"/>
  <c r="Q61" i="1" l="1"/>
  <c r="R61" i="1"/>
  <c r="S61" i="1"/>
  <c r="O61" i="1"/>
  <c r="L61" i="1"/>
  <c r="M61" i="1"/>
  <c r="J61" i="1"/>
  <c r="I61" i="1"/>
  <c r="AB63" i="1" l="1"/>
  <c r="AJ98" i="1"/>
  <c r="AB98" i="1"/>
  <c r="K61" i="1"/>
  <c r="AJ63" i="1"/>
  <c r="F61" i="1"/>
  <c r="G61" i="1"/>
  <c r="H61" i="1"/>
  <c r="D61" i="1"/>
  <c r="E62" i="1"/>
  <c r="E61" i="1" l="1"/>
  <c r="K54" i="3"/>
  <c r="I54" i="3"/>
  <c r="O55" i="3"/>
  <c r="O54" i="3" s="1"/>
  <c r="M55" i="3"/>
  <c r="M10" i="3"/>
  <c r="M54" i="3" l="1"/>
  <c r="O10" i="3"/>
  <c r="O75" i="3" l="1"/>
  <c r="T80" i="1" l="1"/>
  <c r="T61" i="1" l="1"/>
  <c r="AB95" i="1" l="1"/>
  <c r="AC95" i="1"/>
  <c r="K79" i="1"/>
  <c r="L101" i="3" l="1"/>
  <c r="N101" i="3" s="1"/>
  <c r="P101" i="3" s="1"/>
  <c r="L116" i="3"/>
  <c r="N116" i="3" s="1"/>
  <c r="P116" i="3" s="1"/>
  <c r="L115" i="3"/>
  <c r="N115" i="3" s="1"/>
  <c r="P115" i="3" s="1"/>
  <c r="L113" i="3"/>
  <c r="N113" i="3" s="1"/>
  <c r="P113" i="3" s="1"/>
  <c r="L112" i="3"/>
  <c r="N112" i="3" s="1"/>
  <c r="P112" i="3" s="1"/>
  <c r="L111" i="3"/>
  <c r="N111" i="3" s="1"/>
  <c r="P111" i="3" s="1"/>
  <c r="L110" i="3"/>
  <c r="N110" i="3" s="1"/>
  <c r="P110" i="3" s="1"/>
  <c r="L108" i="3"/>
  <c r="N108" i="3" s="1"/>
  <c r="P108" i="3" s="1"/>
  <c r="L106" i="3"/>
  <c r="N106" i="3" s="1"/>
  <c r="P106" i="3" s="1"/>
  <c r="L104" i="3"/>
  <c r="N104" i="3" s="1"/>
  <c r="P104" i="3" s="1"/>
  <c r="L102" i="3"/>
  <c r="N102" i="3" s="1"/>
  <c r="P102" i="3" s="1"/>
  <c r="L100" i="3"/>
  <c r="N100" i="3" s="1"/>
  <c r="P100" i="3" s="1"/>
  <c r="L99" i="3"/>
  <c r="N99" i="3" s="1"/>
  <c r="P99" i="3" s="1"/>
  <c r="L97" i="3"/>
  <c r="N97" i="3" s="1"/>
  <c r="P97" i="3" s="1"/>
  <c r="L96" i="3"/>
  <c r="N96" i="3" s="1"/>
  <c r="P96" i="3" s="1"/>
  <c r="L94" i="3"/>
  <c r="N94" i="3" s="1"/>
  <c r="P94" i="3" s="1"/>
  <c r="L93" i="3"/>
  <c r="N93" i="3" s="1"/>
  <c r="P93" i="3" s="1"/>
  <c r="L92" i="3"/>
  <c r="N92" i="3" s="1"/>
  <c r="P92" i="3" s="1"/>
  <c r="L90" i="3"/>
  <c r="N90" i="3" s="1"/>
  <c r="P90" i="3" s="1"/>
  <c r="L89" i="3"/>
  <c r="N89" i="3" s="1"/>
  <c r="P89" i="3" s="1"/>
  <c r="L87" i="3"/>
  <c r="N87" i="3" s="1"/>
  <c r="P87" i="3" s="1"/>
  <c r="L85" i="3"/>
  <c r="N85" i="3" s="1"/>
  <c r="P85" i="3" s="1"/>
  <c r="L84" i="3"/>
  <c r="N84" i="3" s="1"/>
  <c r="P84" i="3" s="1"/>
  <c r="L83" i="3"/>
  <c r="N83" i="3" s="1"/>
  <c r="L81" i="3"/>
  <c r="N81" i="3" s="1"/>
  <c r="P81" i="3" s="1"/>
  <c r="L78" i="3"/>
  <c r="N78" i="3" s="1"/>
  <c r="L68" i="3"/>
  <c r="N68" i="3" s="1"/>
  <c r="P68" i="3" s="1"/>
  <c r="L65" i="3"/>
  <c r="P65" i="3" s="1"/>
  <c r="L63" i="3"/>
  <c r="N63" i="3" s="1"/>
  <c r="P63" i="3" s="1"/>
  <c r="L62" i="3"/>
  <c r="N62" i="3" s="1"/>
  <c r="P62" i="3" s="1"/>
  <c r="L61" i="3"/>
  <c r="N61" i="3" s="1"/>
  <c r="P61" i="3" s="1"/>
  <c r="L59" i="3"/>
  <c r="N59" i="3" s="1"/>
  <c r="P59" i="3" s="1"/>
  <c r="L57" i="3"/>
  <c r="N57" i="3" s="1"/>
  <c r="P57" i="3" s="1"/>
  <c r="L56" i="3"/>
  <c r="N56" i="3" s="1"/>
  <c r="P56" i="3" s="1"/>
  <c r="P55" i="3" s="1"/>
  <c r="P78" i="3" l="1"/>
  <c r="P77" i="3" s="1"/>
  <c r="N82" i="3"/>
  <c r="N79" i="3" s="1"/>
  <c r="P83" i="3"/>
  <c r="P82" i="3" s="1"/>
  <c r="P60" i="3"/>
  <c r="P58" i="3" s="1"/>
  <c r="P54" i="3" s="1"/>
  <c r="P79" i="3"/>
  <c r="N55" i="3"/>
  <c r="L77" i="3"/>
  <c r="N77" i="3"/>
  <c r="N75" i="3" s="1"/>
  <c r="N60" i="3"/>
  <c r="N58" i="3" s="1"/>
  <c r="L55" i="3"/>
  <c r="L82" i="3"/>
  <c r="L79" i="3" s="1"/>
  <c r="L75" i="3" s="1"/>
  <c r="L60" i="3"/>
  <c r="L58" i="3" s="1"/>
  <c r="L51" i="3"/>
  <c r="N51" i="3" s="1"/>
  <c r="P51" i="3" s="1"/>
  <c r="L47" i="3"/>
  <c r="L46" i="3"/>
  <c r="N46" i="3" s="1"/>
  <c r="P46" i="3" s="1"/>
  <c r="L45" i="3"/>
  <c r="N45" i="3" s="1"/>
  <c r="P45" i="3" s="1"/>
  <c r="L42" i="3"/>
  <c r="N42" i="3" s="1"/>
  <c r="P42" i="3" s="1"/>
  <c r="L41" i="3"/>
  <c r="N41" i="3" s="1"/>
  <c r="P41" i="3" s="1"/>
  <c r="L40" i="3"/>
  <c r="N40" i="3" s="1"/>
  <c r="P40" i="3" s="1"/>
  <c r="L39" i="3"/>
  <c r="N39" i="3" s="1"/>
  <c r="P39" i="3" s="1"/>
  <c r="L38" i="3"/>
  <c r="N38" i="3" s="1"/>
  <c r="P38" i="3" s="1"/>
  <c r="L36" i="3"/>
  <c r="N36" i="3" s="1"/>
  <c r="P36" i="3" s="1"/>
  <c r="L35" i="3"/>
  <c r="N35" i="3" s="1"/>
  <c r="P35" i="3" s="1"/>
  <c r="L32" i="3"/>
  <c r="N32" i="3" s="1"/>
  <c r="P32" i="3" s="1"/>
  <c r="L30" i="3"/>
  <c r="N30" i="3" s="1"/>
  <c r="P30" i="3" s="1"/>
  <c r="L29" i="3"/>
  <c r="N29" i="3" s="1"/>
  <c r="P29" i="3" s="1"/>
  <c r="L28" i="3"/>
  <c r="N28" i="3" s="1"/>
  <c r="P28" i="3" s="1"/>
  <c r="L27" i="3"/>
  <c r="N27" i="3" s="1"/>
  <c r="P27" i="3" s="1"/>
  <c r="L26" i="3"/>
  <c r="N26" i="3" s="1"/>
  <c r="P26" i="3" s="1"/>
  <c r="L24" i="3"/>
  <c r="N24" i="3" s="1"/>
  <c r="P24" i="3" s="1"/>
  <c r="L23" i="3"/>
  <c r="N23" i="3" s="1"/>
  <c r="P23" i="3" s="1"/>
  <c r="L21" i="3"/>
  <c r="N21" i="3" s="1"/>
  <c r="P21" i="3" s="1"/>
  <c r="L20" i="3"/>
  <c r="N20" i="3" s="1"/>
  <c r="P20" i="3" s="1"/>
  <c r="L19" i="3"/>
  <c r="N19" i="3" s="1"/>
  <c r="P19" i="3" s="1"/>
  <c r="L18" i="3"/>
  <c r="N18" i="3" s="1"/>
  <c r="P18" i="3" s="1"/>
  <c r="L17" i="3"/>
  <c r="N17" i="3" s="1"/>
  <c r="P17" i="3" s="1"/>
  <c r="L16" i="3"/>
  <c r="N16" i="3" s="1"/>
  <c r="P16" i="3" s="1"/>
  <c r="L15" i="3"/>
  <c r="L14" i="3"/>
  <c r="N14" i="3" s="1"/>
  <c r="P14" i="3" s="1"/>
  <c r="L13" i="3"/>
  <c r="N13" i="3" l="1"/>
  <c r="P13" i="3" s="1"/>
  <c r="N15" i="3"/>
  <c r="P15" i="3" s="1"/>
  <c r="N10" i="3"/>
  <c r="N54" i="3"/>
  <c r="L54" i="3"/>
  <c r="AC98" i="1"/>
  <c r="AC13" i="1" l="1"/>
  <c r="I79" i="1"/>
  <c r="I11" i="1" s="1"/>
  <c r="K75" i="3" l="1"/>
  <c r="J12" i="3" l="1"/>
  <c r="K12" i="3"/>
  <c r="L12" i="3"/>
  <c r="M12" i="3"/>
  <c r="N12" i="3"/>
  <c r="P12" i="3"/>
  <c r="I12" i="3"/>
  <c r="J75" i="3"/>
  <c r="M75" i="3"/>
  <c r="P75" i="3"/>
  <c r="AC57" i="1" l="1"/>
  <c r="D14" i="1"/>
  <c r="E14" i="1"/>
  <c r="F14" i="1"/>
  <c r="G14" i="1"/>
  <c r="H14" i="1"/>
  <c r="J14" i="1"/>
  <c r="L14" i="1"/>
  <c r="M14" i="1"/>
  <c r="O14" i="1"/>
  <c r="Q14" i="1"/>
  <c r="R14" i="1"/>
  <c r="S14" i="1"/>
  <c r="N11" i="1"/>
  <c r="D79" i="1"/>
  <c r="AD14" i="1" l="1"/>
  <c r="E79" i="1"/>
  <c r="AC118" i="1" l="1"/>
  <c r="AC102" i="1"/>
  <c r="AC97" i="1"/>
  <c r="AC94" i="1"/>
  <c r="AC59" i="1"/>
  <c r="AC58" i="1"/>
  <c r="AC40" i="1"/>
  <c r="AC31" i="1"/>
  <c r="AC23" i="1"/>
  <c r="AC20" i="1"/>
  <c r="AC19" i="1"/>
  <c r="AC17" i="1"/>
  <c r="AC18" i="1"/>
  <c r="AC21" i="1"/>
  <c r="AC22" i="1"/>
  <c r="AC26" i="1"/>
  <c r="AC27" i="1"/>
  <c r="AC28" i="1"/>
  <c r="AC29" i="1"/>
  <c r="AC30" i="1"/>
  <c r="AC32" i="1"/>
  <c r="AC33" i="1"/>
  <c r="AC36" i="1"/>
  <c r="AC37" i="1"/>
  <c r="AC38" i="1"/>
  <c r="AC39" i="1"/>
  <c r="AC41" i="1"/>
  <c r="AC42" i="1"/>
  <c r="AC43" i="1"/>
  <c r="AC44" i="1"/>
  <c r="AC46" i="1"/>
  <c r="AC47" i="1"/>
  <c r="AC48" i="1"/>
  <c r="AC49" i="1"/>
  <c r="AC53" i="1"/>
  <c r="AC55" i="1"/>
  <c r="AC56" i="1"/>
  <c r="AC60" i="1"/>
  <c r="AC63" i="1"/>
  <c r="AC64" i="1"/>
  <c r="AC66" i="1"/>
  <c r="AC68" i="1"/>
  <c r="AC69" i="1"/>
  <c r="AC70" i="1"/>
  <c r="AC71" i="1"/>
  <c r="AC72" i="1"/>
  <c r="AC73" i="1"/>
  <c r="AC74" i="1"/>
  <c r="AC75" i="1"/>
  <c r="AC76" i="1"/>
  <c r="AC77" i="1"/>
  <c r="AC78" i="1"/>
  <c r="AC80" i="1"/>
  <c r="AC81" i="1"/>
  <c r="AC84" i="1"/>
  <c r="AC87" i="1"/>
  <c r="AC88" i="1"/>
  <c r="AC89" i="1"/>
  <c r="AC91" i="1"/>
  <c r="AC92" i="1"/>
  <c r="AC93" i="1"/>
  <c r="AC96" i="1"/>
  <c r="AC99" i="1"/>
  <c r="AC100" i="1"/>
  <c r="AC101" i="1"/>
  <c r="AC103" i="1"/>
  <c r="AC104" i="1"/>
  <c r="AC105" i="1"/>
  <c r="AC107" i="1"/>
  <c r="AC109" i="1"/>
  <c r="AC111" i="1"/>
  <c r="AC113" i="1"/>
  <c r="AC114" i="1"/>
  <c r="AC115" i="1"/>
  <c r="AC116" i="1"/>
  <c r="AC117" i="1"/>
  <c r="AC119" i="1"/>
  <c r="J54" i="3" l="1"/>
  <c r="J10" i="3" l="1"/>
  <c r="L10" i="3"/>
  <c r="I10" i="3"/>
  <c r="AC62" i="1" l="1"/>
  <c r="S79" i="1"/>
  <c r="R79" i="1"/>
  <c r="Q79" i="1"/>
  <c r="O79" i="1"/>
  <c r="M79" i="1"/>
  <c r="L79" i="1"/>
  <c r="D11" i="1" l="1"/>
  <c r="AB9" i="1" l="1"/>
  <c r="AH93" i="1"/>
  <c r="AH92" i="1"/>
  <c r="AH105" i="1"/>
  <c r="AH107" i="1"/>
  <c r="AH68" i="1"/>
  <c r="AH103" i="1"/>
  <c r="AH76" i="1"/>
  <c r="AI111" i="1" l="1"/>
  <c r="AH111" i="1"/>
  <c r="AH61" i="1" l="1"/>
  <c r="T82" i="1" l="1"/>
  <c r="T79" i="1" s="1"/>
  <c r="T11" i="1" s="1"/>
  <c r="P86" i="1"/>
  <c r="P82" i="1" s="1"/>
  <c r="P79" i="1" s="1"/>
  <c r="P11" i="1" s="1"/>
  <c r="J79" i="1"/>
  <c r="H79" i="1"/>
  <c r="G79" i="1"/>
  <c r="F79" i="1"/>
  <c r="AB67" i="1" l="1"/>
  <c r="AC86" i="1"/>
  <c r="AC67" i="1"/>
  <c r="AI14" i="1"/>
  <c r="AH79" i="1"/>
  <c r="S11" i="1"/>
  <c r="E11" i="1"/>
  <c r="F11" i="1"/>
  <c r="J11" i="1"/>
  <c r="G11" i="1"/>
  <c r="O122" i="3"/>
  <c r="L122" i="3"/>
  <c r="I82" i="3"/>
  <c r="M122" i="3"/>
  <c r="J122" i="3"/>
  <c r="N122" i="3"/>
  <c r="K122" i="3"/>
  <c r="H11" i="1"/>
  <c r="L11" i="1"/>
  <c r="Q11" i="1"/>
  <c r="R11" i="1"/>
  <c r="O11" i="1"/>
  <c r="M11" i="1"/>
  <c r="T67" i="1"/>
  <c r="I79" i="3" l="1"/>
  <c r="AC82" i="1"/>
  <c r="AJ65" i="1"/>
  <c r="AB65" i="1"/>
  <c r="AC65" i="1"/>
  <c r="AH14" i="1"/>
  <c r="I75" i="3"/>
  <c r="AH11" i="1"/>
  <c r="AC79" i="1" l="1"/>
  <c r="AI61" i="1"/>
  <c r="AC61" i="1"/>
  <c r="AD61" i="1"/>
  <c r="AI79" i="1"/>
  <c r="K11" i="1"/>
  <c r="AD79" i="1"/>
  <c r="AI11" i="1" l="1"/>
  <c r="AC9" i="1"/>
  <c r="AD11" i="1"/>
  <c r="I122" i="3"/>
  <c r="P122" i="3"/>
  <c r="AD12" i="1" l="1"/>
</calcChain>
</file>

<file path=xl/sharedStrings.xml><?xml version="1.0" encoding="utf-8"?>
<sst xmlns="http://schemas.openxmlformats.org/spreadsheetml/2006/main" count="1296" uniqueCount="601">
  <si>
    <t xml:space="preserve">ОТЧЕТ </t>
  </si>
  <si>
    <t>об исполнении финансирования государственной программы Краснодарского края</t>
  </si>
  <si>
    <t>"Социальная поддержка граждан"</t>
  </si>
  <si>
    <t xml:space="preserve">наименование государственной программы </t>
  </si>
  <si>
    <t>Номер  мероп-риятия</t>
  </si>
  <si>
    <t>Наименование основного мероприятия, подпрограммы, мероприятия подпрограммы, ведомственной целевой программы</t>
  </si>
  <si>
    <t>Государственный заказчик, получатель субсидий (субвенций), ответственный за выполнение мероприятий, исполнитель</t>
  </si>
  <si>
    <t>Объем финансирования в тыс. рублей, предусмотренный на отчетную дату:</t>
  </si>
  <si>
    <t>Профинансировано (кассовое исполнение) в отчетном периоде, тыс. рублей</t>
  </si>
  <si>
    <t>Непосредственный результат реализации мероприятия</t>
  </si>
  <si>
    <t xml:space="preserve">Причины невыполнения (несвоевременного выполнения) мероприятия </t>
  </si>
  <si>
    <t>уточненной сводной бюджетной росписью</t>
  </si>
  <si>
    <t>федеральный бюджет</t>
  </si>
  <si>
    <t>краевой бюджет</t>
  </si>
  <si>
    <r>
      <t>краевой бюджет</t>
    </r>
    <r>
      <rPr>
        <i/>
        <vertAlign val="superscript"/>
        <sz val="28"/>
        <rFont val="Times New Roman"/>
        <family val="1"/>
        <charset val="204"/>
      </rPr>
      <t>6)</t>
    </r>
  </si>
  <si>
    <t>местный бюджет</t>
  </si>
  <si>
    <t>внебюджетные  источники</t>
  </si>
  <si>
    <t>наименование</t>
  </si>
  <si>
    <t>единица измерения</t>
  </si>
  <si>
    <t>плановое значение</t>
  </si>
  <si>
    <t>фактическое значение</t>
  </si>
  <si>
    <t>всего</t>
  </si>
  <si>
    <t>ВСЕГО 
по государственной программе, в том числе:</t>
  </si>
  <si>
    <t>Х</t>
  </si>
  <si>
    <t>Всего
по основным мероприятиям государственной программы, в том числе:</t>
  </si>
  <si>
    <t>1.1.1.1</t>
  </si>
  <si>
    <t>Финансовое обеспечение деятельности министерства труда и социального развития  Краснодарского края и управлений социальной защиты населения министерства  труда и социального развития Краснодарского края в муниципальных образованиях Краснодарского края</t>
  </si>
  <si>
    <t>министерство труда и социального развития Краснодарского края</t>
  </si>
  <si>
    <t>1.</t>
  </si>
  <si>
    <t>Всего по подпрограмме , "Развитие мер социальной поддержки отдельных категорий граждан" в том числе:</t>
  </si>
  <si>
    <t xml:space="preserve">Пенсии за выслугу лет лицам, замещавшим должности государственной гражданской службы Краснодарского края </t>
  </si>
  <si>
    <t>человек</t>
  </si>
  <si>
    <t>выполнено</t>
  </si>
  <si>
    <t>1.1.1.2</t>
  </si>
  <si>
    <t>1.1.1.3</t>
  </si>
  <si>
    <t>Дополнительное материальное обеспечение лиц, замещавших государственные должности Краснодарского края</t>
  </si>
  <si>
    <t>1.1.2.2</t>
  </si>
  <si>
    <t>1.1.2.3</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</si>
  <si>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настоящего раздела)</t>
  </si>
  <si>
    <t>1.1.2.4</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</si>
  <si>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</si>
  <si>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1.1.2.5</t>
  </si>
  <si>
    <t>1.3</t>
  </si>
  <si>
    <t>1.1.3.2</t>
  </si>
  <si>
    <t>семей</t>
  </si>
  <si>
    <t>1.1.3.3</t>
  </si>
  <si>
    <t>1.1.3.4</t>
  </si>
  <si>
    <t>1.1.3.5</t>
  </si>
  <si>
    <t>1.1.4.1</t>
  </si>
  <si>
    <t>1.1.4.2</t>
  </si>
  <si>
    <t>1.1.4.3</t>
  </si>
  <si>
    <t>Социальная поддержка инвалидов боевых действий и членов семьи военнослужащих, погибщих при исполнении воинского долга</t>
  </si>
  <si>
    <t>1.5</t>
  </si>
  <si>
    <t>1.1.5.2</t>
  </si>
  <si>
    <t>1.1.5.4</t>
  </si>
  <si>
    <t>1.1.5.5</t>
  </si>
  <si>
    <t>1.1.6.1</t>
  </si>
  <si>
    <t>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</si>
  <si>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1.1.6.2</t>
  </si>
  <si>
    <t>Возмещение лицу, взявшему на себя обязательства осуществлять погребение, затрат,связанных с погребением умерших реабилитированных лиц</t>
  </si>
  <si>
    <t>1.1.7.2</t>
  </si>
  <si>
    <t>Предоставление единовременной денежной выплаты лицам, награжденным орденом                                                                  "За выдающийся вклад в развитие кубанского казачества"</t>
  </si>
  <si>
    <t>1.1.7.3</t>
  </si>
  <si>
    <t>1.1.7.5</t>
  </si>
  <si>
    <t>1.1.7.6</t>
  </si>
  <si>
    <t>1.1.7.7</t>
  </si>
  <si>
    <t>1.1.8.2</t>
  </si>
  <si>
    <t>1.1.8.3</t>
  </si>
  <si>
    <t>1.1.8.5</t>
  </si>
  <si>
    <t>тыс. чел.</t>
  </si>
  <si>
    <t>1.1.8.6</t>
  </si>
  <si>
    <t>тыс.штук</t>
  </si>
  <si>
    <t>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t>
  </si>
  <si>
    <t>1.1.10.3</t>
  </si>
  <si>
    <t>1.1.10.4</t>
  </si>
  <si>
    <t xml:space="preserve">человек </t>
  </si>
  <si>
    <t>2.</t>
  </si>
  <si>
    <t>Всего по подпрограмме  "Модернизация и развитие социального обслуживания населения" в  том числе:</t>
  </si>
  <si>
    <t>1.1.1</t>
  </si>
  <si>
    <t>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 в том числе:</t>
  </si>
  <si>
    <t>казенных учреждений</t>
  </si>
  <si>
    <t>1.1.1.2.1</t>
  </si>
  <si>
    <t>предоставление субсидий государственным бюджетным и автономным учреждениям</t>
  </si>
  <si>
    <t>1.1.2.1</t>
  </si>
  <si>
    <t xml:space="preserve">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 </t>
  </si>
  <si>
    <t>1.1.2.1.1</t>
  </si>
  <si>
    <t>казенные учреждения</t>
  </si>
  <si>
    <t>учреждений</t>
  </si>
  <si>
    <t>1.1.2.1.2</t>
  </si>
  <si>
    <t>предоставление субсидий государственным бюджетным и автономным учреждениям, в том числе:</t>
  </si>
  <si>
    <t>1.1.2.1.2.1</t>
  </si>
  <si>
    <t>на финансовое обеспечение выполнения ими государственного задания</t>
  </si>
  <si>
    <t>1.1.2.1.2.2</t>
  </si>
  <si>
    <t>на осуществление капитального ремонта</t>
  </si>
  <si>
    <t>1.1.2.1.2.3</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</si>
  <si>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</si>
  <si>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</si>
  <si>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 xml:space="preserve"> транспортные средства </t>
  </si>
  <si>
    <t>1.1.3.6</t>
  </si>
  <si>
    <t>компьютерных мест</t>
  </si>
  <si>
    <t>1.1.3.7</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</si>
  <si>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</si>
  <si>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1.1.3.8</t>
  </si>
  <si>
    <t>Предоставление субсидий государственным и автономным учреждениям на организацию приемной семьи для граждан пожилого возраста и инвалидов</t>
  </si>
  <si>
    <t>1.1.3.9</t>
  </si>
  <si>
    <t xml:space="preserve">технические средства </t>
  </si>
  <si>
    <t>1.1.3.13</t>
  </si>
  <si>
    <t>транспортных средства</t>
  </si>
  <si>
    <t>3</t>
  </si>
  <si>
    <t xml:space="preserve"> Всего по подпрограмме "Совершенствование социальной поддержки семьи и детей" в том числе:</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</si>
  <si>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</si>
  <si>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1.1.1.3.1</t>
  </si>
  <si>
    <t>1.1.1.3.2</t>
  </si>
  <si>
    <t>предоставление субсидий государственным  бюджетным и автономным учреждениям, в том числе:</t>
  </si>
  <si>
    <t>1.1.1.3.2.1</t>
  </si>
  <si>
    <t>1.1.1.3.2.2</t>
  </si>
  <si>
    <t>1.1.1.3.2.3</t>
  </si>
  <si>
    <t>1.1.2.6</t>
  </si>
  <si>
    <t>1.1.2.9</t>
  </si>
  <si>
    <t>1.1.2.10</t>
  </si>
  <si>
    <t>Выплата единовременного денежного поощрения награжденным медалью Краснодарского края "Родительская доблесть"</t>
  </si>
  <si>
    <t>Выплата единовременного денежного пособия при усыновлении (удочерении) на территории Краснодарского края ребенка-сироты или ребенка, оставшегося без попечения родителей</t>
  </si>
  <si>
    <t>Ежегодная денежная выплата многодетным семьям</t>
  </si>
  <si>
    <t>Выплата единовременного пособия при всех формах устройства детей, лишенных родительского попечения, в семью</t>
  </si>
  <si>
    <t>Предоставление меры социальной поддержки в виде  материнского (семейного) капитала в рамках регионального проекта "Финансовая поддержка семей при рождении детей"</t>
  </si>
  <si>
    <t>штук</t>
  </si>
  <si>
    <t>1.1.4.4</t>
  </si>
  <si>
    <t>1.1.4.5</t>
  </si>
  <si>
    <t>1.1.4.6</t>
  </si>
  <si>
    <t>1.1.4.7</t>
  </si>
  <si>
    <t>1.1.4.8</t>
  </si>
  <si>
    <t>1.1.5.1</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</si>
  <si>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</si>
  <si>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ОТЧЕТ</t>
  </si>
  <si>
    <t>о достижении целевых показателей государственной программы Краснодарского края</t>
  </si>
  <si>
    <t>Номер целевого показателя</t>
  </si>
  <si>
    <t>Наименование целевого показателя</t>
  </si>
  <si>
    <t>Единица измерения</t>
  </si>
  <si>
    <t>Причины недостижения фактического значения показателя в отчетном периоде</t>
  </si>
  <si>
    <t>текущий отчетный период</t>
  </si>
  <si>
    <t>факт</t>
  </si>
  <si>
    <t>план</t>
  </si>
  <si>
    <t>Государственная программа Краснодарского края  «Социальная поддержка граждан»</t>
  </si>
  <si>
    <t>1.1</t>
  </si>
  <si>
    <t>Число граждан, получивших документы на право пользования мерами социальной поддержки</t>
  </si>
  <si>
    <t>1.2</t>
  </si>
  <si>
    <t>Соотношение средней заработной платы социальных работников государственных учреждений со средней заработной платой в Краснодарском крае</t>
  </si>
  <si>
    <t>%</t>
  </si>
  <si>
    <t>Удельный вес детей-сирот и детей, оставшихся без попечения родителей, переданных на воспитание в семью (от общей численности вновь выявленных детей за отчетный период)</t>
  </si>
  <si>
    <t>1.4</t>
  </si>
  <si>
    <t>Доля государственных учреждений, предоставляющих информацию об энергосбережении и повышении энергетической эффективности (энергетические декларации) в электронном виде</t>
  </si>
  <si>
    <t>Доля государственных учреждений, оснащенных приборами учета тепловой энергии</t>
  </si>
  <si>
    <t>1.6</t>
  </si>
  <si>
    <t>Удельный вес учреждений социального обслуживания, основанный на иных формах собственности (кроме государственных учреждений), в общем количестве учреждений социального обслуживания всех форм собственности</t>
  </si>
  <si>
    <t>1.7</t>
  </si>
  <si>
    <t>Доля государственных бюджетных (автономных, казенных) учреждений социального обслуживания, подведомственных министерству труда и социального развития Краснодарского края, в отношении которых проведена независимая оценка качества оказания услуг, от общего их количества</t>
  </si>
  <si>
    <t>1.8</t>
  </si>
  <si>
    <t xml:space="preserve">Удельный расход электрической энергии на снабжение государственных учреждений
</t>
  </si>
  <si>
    <t xml:space="preserve">кВт-ч/кв. м
</t>
  </si>
  <si>
    <t>1.9</t>
  </si>
  <si>
    <t xml:space="preserve">Удельный расход тепловой энергии на снабжение государственных учреждений
</t>
  </si>
  <si>
    <t xml:space="preserve">Гкал/кв. м
</t>
  </si>
  <si>
    <t xml:space="preserve">  1.10
</t>
  </si>
  <si>
    <t xml:space="preserve">Удельный расход холодной воды на снабжение государственных учреждений
</t>
  </si>
  <si>
    <t xml:space="preserve">куб. м/кв. м
</t>
  </si>
  <si>
    <t xml:space="preserve"> 1.11
</t>
  </si>
  <si>
    <t xml:space="preserve">Доля светодиодных источников света в освещении зданий от общего количества источников света в зданиях
</t>
  </si>
  <si>
    <t xml:space="preserve">%
</t>
  </si>
  <si>
    <t>1.12</t>
  </si>
  <si>
    <t xml:space="preserve">Доля зданий, строений, сооружений, оснащенных индивидуальными тепловыми пунктами с автоматическим регулированием температуры теплоносителя, находящихся на праве оперативного управления или ином законном основании, от общего количества указанных зданий, строений, сооружений
</t>
  </si>
  <si>
    <t>1.13</t>
  </si>
  <si>
    <t xml:space="preserve">Удовлетворенность получателей социальных услуг в оказанных социальных услугах, процентов
</t>
  </si>
  <si>
    <t>1.14</t>
  </si>
  <si>
    <t xml:space="preserve">Доля населения с денежными доходами ниже величины прожиточного минимума в Краснодарском крае в общей численности населения Краснодарского края, процентов
</t>
  </si>
  <si>
    <t>2.1</t>
  </si>
  <si>
    <t>Подпрограмма   «Развитие мер социальной поддержки отдельных категорий граждан»</t>
  </si>
  <si>
    <t>2.1.3</t>
  </si>
  <si>
    <t xml:space="preserve">Доля граждан, получивших меры социальной поддержки, в общей численности граждан, имеющих право на их получение и обратившихся за их получением
</t>
  </si>
  <si>
    <t>2.2</t>
  </si>
  <si>
    <t>Подпрограмма  «Модернизация и развитие социального обслуживания населения»</t>
  </si>
  <si>
    <t>2.2.1</t>
  </si>
  <si>
    <t>Доля пожилых граждан и инвалидов,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учреждениях социального обслуживания</t>
  </si>
  <si>
    <t>2.2.2</t>
  </si>
  <si>
    <t>Количество граждан пожилого возраста и инвалидов, пользующихся услугами сиделок</t>
  </si>
  <si>
    <t>2.2.3</t>
  </si>
  <si>
    <t>Количество выданных технических средств реабилитации (ТСР)</t>
  </si>
  <si>
    <t>единиц</t>
  </si>
  <si>
    <t>2.2.4</t>
  </si>
  <si>
    <t>Количество граждан, прошедших обучение в школе по уходу</t>
  </si>
  <si>
    <t>2.3</t>
  </si>
  <si>
    <t>Подпрограмма «Совершенствование социальной поддержки семьи и детей»</t>
  </si>
  <si>
    <t>2.3.1</t>
  </si>
  <si>
    <t>Удельный вес несовершеннолетних, возвращенных в физиологическую семью и переданных на воспитание в замещающие семьи (от общего числа несовершеннолетних,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 социально-реабилитационных центрах для несовершеннолетних, нуждающихся в социальной реабилитации)</t>
  </si>
  <si>
    <t>Суммарный коэффициент рождаемости
(число детей на одну женщину)</t>
  </si>
  <si>
    <t>Коэффициент рождаемости в Краснодарском крае возрастной группе 25-29 лет (число родившихся на 1000 женщин соответствующего возраста)</t>
  </si>
  <si>
    <t>Коэффициент рождаемости в Краснодарском крае возрастной группе 30-34 лет (число родившихся на 1000 женщин соответствующего возраста)</t>
  </si>
  <si>
    <t xml:space="preserve">                                          </t>
  </si>
  <si>
    <t xml:space="preserve">  о выполнении плана реализации</t>
  </si>
  <si>
    <t xml:space="preserve">                                            </t>
  </si>
  <si>
    <t xml:space="preserve">              государственной программы Краснодарского края "Социальная поддержка граждан"</t>
  </si>
  <si>
    <t xml:space="preserve">                                                     </t>
  </si>
  <si>
    <t xml:space="preserve">Номер основного мероприятия, контрольного события, мероприятия </t>
  </si>
  <si>
    <t>Наименование подпрограммы, отдельного мероприятия, ведомственной целевой программы, контрольного события</t>
  </si>
  <si>
    <t xml:space="preserve">Статус </t>
  </si>
  <si>
    <t>Ответственный за реализацию мероприятия, выполнение контрольного события</t>
  </si>
  <si>
    <t>Плановый срок начала реализации мероприятия</t>
  </si>
  <si>
    <t xml:space="preserve">Плановый срок окончания реализации мероприятия, наступления контрольного события </t>
  </si>
  <si>
    <t xml:space="preserve">Фактический срок начала реализации мероприятия </t>
  </si>
  <si>
    <t xml:space="preserve">Фактический срок окончания реализации мероприятия              наступления контрольного события </t>
  </si>
  <si>
    <t>Поквартальное распределение прогноза кассовых выплат из краевого бюджета, тыс.рублей</t>
  </si>
  <si>
    <t>I</t>
  </si>
  <si>
    <t>II</t>
  </si>
  <si>
    <t>III</t>
  </si>
  <si>
    <t>IV</t>
  </si>
  <si>
    <t xml:space="preserve">Основное мерориятие </t>
  </si>
  <si>
    <t>Подпрограмма № 1 "Развитие мер социальной поддержки отдельных категорий граждан"</t>
  </si>
  <si>
    <t>Пособия отдельным категориям работников Краснодарского края в соответствии с Законом Краснодарского края от 21 июля 2005 г.                                                                  № 921-КЗ                                           "О государственной поддержке отдельных категорий работников Краснодарского края"</t>
  </si>
  <si>
    <t>Дополнительное; материальное обеспечение лиц, замещавших государственные должности Краснодарского края</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</si>
  <si>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подпунктами 1.1.2.2 и 1.1.3.3 настоящего раздела)</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</si>
  <si>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</si>
  <si>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Ежемесячные денежные выплаты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труженикам тыла, – жителям  Краснодарского края</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</si>
  <si>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</si>
  <si>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Предоставление мер социальной поддержки отдельным категориям граждан, проживающим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</si>
  <si>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 xml:space="preserve">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t>
  </si>
  <si>
    <t>Социальная поддержка инвалидов боевых действий и членов семей военнослужащих, погибших при исполнении воинского долга</t>
  </si>
  <si>
    <t>Возмещение лицу, взявшему на себя обязательства осуществлять погребение, затрат, связанных с погребением умерших реабилитированных лиц</t>
  </si>
  <si>
    <t>Предоставление единовременной денежной выплаты лицам, награжденным орденом "За выдающийся вклад в развитие кубанского казачества"</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</si>
  <si>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                                                                                        № 1388-КЗ "О выплате пособий на оплату проезда лицам, нуждающимся в проведении гемодиализа"</t>
  </si>
  <si>
    <t xml:space="preserve">Контрольное событие 1.2
Оказание мер социальной поддержки отдельным категориям граждан
</t>
  </si>
  <si>
    <t>Подпрограмма № 2 "Модернизация и развитие социального обслуживания населения"</t>
  </si>
  <si>
    <t>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</si>
  <si>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</si>
  <si>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</si>
  <si>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Предоставление субсидий государственным бюджетным и автономным учреждениям на организацию для граждан пожилого возраста и (или) инвалидов обучения в компьютерных классах и клубах на базе государственных бюджетных и автономных учреждений Краснодарского края</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</si>
  <si>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</si>
  <si>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</si>
  <si>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</si>
  <si>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 xml:space="preserve">Контрольное событие 2.1
Рост соотношения средней заработной платы социальных работников государственных учреждений,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
</t>
  </si>
  <si>
    <t>3.</t>
  </si>
  <si>
    <t>Подпрограмма № 3 "Совершенствование социальной поддержки семьи и детей"</t>
  </si>
  <si>
    <t>Финансовое обеспечение деятельности государственных учреждений социального обслуживания и государственных учреждений, осуществляющих деятельность в сфере семейной политики и отдыха и оздоровления детей</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</si>
  <si>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</si>
  <si>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</si>
  <si>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Ежегоная денежная выплата многодетным семьям</t>
  </si>
  <si>
    <t>Предоставление меры социальной поддержки в виде  материнского (семейного) капитала в рамках регионального проекта Краснодарского края"Финансовая поддержка семей при рождении детей"</t>
  </si>
  <si>
    <t>Изготовление бланков удостоверений многодетной семье</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</si>
  <si>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</si>
  <si>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полномочий по психолого-педагогической и правовой подготовке граждан, выразивших желание принять на воспитание в свою семью ребенка, оставшегося без попечения родителей</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</si>
  <si>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                                                                                                                                                      № 1132-КЗ                                                                                                                                                                                                                                                                   "О комиссиях по делам несовершеннолетних и защите их прав в Краснодарском крае" </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</si>
  <si>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</si>
  <si>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 xml:space="preserve">Контрольное 
событие 3.1
Реализация мер социальной поддержки детей-сирот и детей, оставшихся без попечения родителей
</t>
  </si>
  <si>
    <t xml:space="preserve">Контрольное 
событие 3.2
Оказание мер социальной поддержки гражданам, имеющим детей 
</t>
  </si>
  <si>
    <t>Итого по государственной программе:</t>
  </si>
  <si>
    <t xml:space="preserve">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 № 1026-КЗ "О статусе Героев Кубани и Героев труда Кубани" </t>
  </si>
  <si>
    <t xml:space="preserve">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в рамках регионального проекта Краснодарского края "Финансовая поддержка семей при рождении детей"                                                                                                   </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</si>
  <si>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                                                                      № 125-ФЗ "О донорстве крови и ее компонентов"</t>
  </si>
  <si>
    <t xml:space="preserve">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 </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</si>
  <si>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</si>
  <si>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 xml:space="preserve">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от 5 мая 2006 г. № 1026-КЗ "О статусе Героев Кубани и Героев труда Кубани" </t>
  </si>
  <si>
    <t>Суммарный коэффициент рождаемости вторых детей</t>
  </si>
  <si>
    <t>Суммарный коэффициент рождаемости третьих и последующих детей</t>
  </si>
  <si>
    <t>Коэффициент рождаемости в возрасте 35 - 39 лет</t>
  </si>
  <si>
    <t>1.1.11.1</t>
  </si>
  <si>
    <t>Предоставление единовременной денежной выплаты на улучшение жилищных условий граждан, имеющих право на меры социальной поддержки в соответствии со статьями 14,15,21 (в части предоставления мер социальной поддержки членам семьи погибшим (умерших) инвалидов и участников Великой Отечественной войны) Федерального закона "О ветеранах"</t>
  </si>
  <si>
    <t>Выплата компенсаций в виде субсидий за предоставление социальных услуг (оказываемых гражданам старших возрастов, инвалидам, включая детей инвалидов) поставщикам социальных услуг, включенным в реестр поставщиков социальных услуг и не участвующим в выполнении государственного задания (заказа)</t>
  </si>
  <si>
    <t>43</t>
  </si>
  <si>
    <t>Заключено государственных и муниципальных контрактов на отчетную дату, тыс. рублей</t>
  </si>
  <si>
    <t>Объем финансирования, предусмотренный государственной программой на текущий год, тыс. рублей</t>
  </si>
  <si>
    <t xml:space="preserve">09.01.2020
</t>
  </si>
  <si>
    <t xml:space="preserve">31.12.2020
</t>
  </si>
  <si>
    <t xml:space="preserve">09.01.2020 
</t>
  </si>
  <si>
    <t xml:space="preserve">09.01.2020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</si>
  <si>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                                      № 1457-КЗ "О компенсации расходов, связанных с эксплуатацией транспортных средств, некоторым категориям жителей Краснодарского края"</t>
  </si>
  <si>
    <t xml:space="preserve">01.04.2020 
</t>
  </si>
  <si>
    <t xml:space="preserve">01.07.2020 
</t>
  </si>
  <si>
    <t>х</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</si>
  <si>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  № 1209-КЗ "О ежегодной денежной выплате отдельным категориям граждан, подвергшихся радиационным воздействиям, и их семьям"</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</si>
  <si>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  № 1457-КЗ "О компенсации расходов,  связанных с эксплуатацией транспортных средств, некоторым категориям жителей Краснодарского края"</t>
  </si>
  <si>
    <t>1.1.10.2</t>
  </si>
  <si>
    <t>1.1.2.12</t>
  </si>
  <si>
    <t>Ежемесячная денежная выплата на ребенка в возрасте от трех до семи лет включительно</t>
  </si>
  <si>
    <t>2.3.8</t>
  </si>
  <si>
    <t>Доля детей в возрасте от трех до семи лет включительно, в отношении которых произведена ежемесячная денежная выплата, в общей численности детей этого возраста</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</si>
  <si>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t>
  </si>
  <si>
    <t>Пономаренко</t>
  </si>
  <si>
    <t>Ролик</t>
  </si>
  <si>
    <t>Чернышева</t>
  </si>
  <si>
    <t>ролик</t>
  </si>
  <si>
    <t>талькова</t>
  </si>
  <si>
    <t>луценко С.В.</t>
  </si>
  <si>
    <t>Луценко С.В.</t>
  </si>
  <si>
    <t>Исаева</t>
  </si>
  <si>
    <t>пономаренко</t>
  </si>
  <si>
    <t>Голыба</t>
  </si>
  <si>
    <t>Босенко</t>
  </si>
  <si>
    <t>Печонова</t>
  </si>
  <si>
    <t>Панченко</t>
  </si>
  <si>
    <t>Шульга</t>
  </si>
  <si>
    <t>Предоставление мер социальной поддержки по обеспечению жильем отдельных категорий граждан, установленных Федеральным законом                  от 12 января 1995 г. № 5-ФЗ «О ветеранах» (пунктом 2 части 3 статьи 23.2), в соответствии с Указом Президента Российской Федерации от 7 мая 2008 г. № 714 «Об обеспечении жильем ветеранов Великой Отечественной войны 1941 - 1945 годов»</t>
  </si>
  <si>
    <t>управления социальной защиты населения Краснодарского края</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</si>
  <si>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</si>
  <si>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</si>
  <si>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Ежемесячная выплата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в соответствии с Законом Краснодарского края от 30 апреля 2019 г.               № 4015-КЗ "О ежемесячной вы-плате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t>
  </si>
  <si>
    <t xml:space="preserve">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
</t>
  </si>
  <si>
    <t xml:space="preserve">Предоставление дополнительной меры социальной поддержки по улучшению жилищных условий (ремонт, повыше-ние уровня благоустройства жилых помещений) граждан, имеющих право на меры социальной поддержки в соответствии со статьями 14, 15, а также 
статьей 21 (в части предоставления мер социальной поддержки членам семьи погибших (умерших) инвалидов и участников Великой Отече-ственной войны) Федерального закона «О ветеранах»
</t>
  </si>
  <si>
    <t xml:space="preserve">Контрольное событие 1.1                                                                                                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
</t>
  </si>
  <si>
    <t>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рамках регионального проекта Краснодарского края «Разработка и реализация программы системной поддержки и повышения качества жизни граждан старшего поколения «Старшее поколение»</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</si>
  <si>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                                                                            № 2770-КЗ "Об образовании в Краснодарском крае"</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</si>
  <si>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</si>
  <si>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</si>
  <si>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 xml:space="preserve">начальник отдела по социальной защите семьи, материнства, дет-ства Голыба В.Н.
</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</si>
  <si>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 № 90-КЗ "Об охране здоровья населения Краснодарского края"</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</si>
  <si>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</si>
  <si>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 № 90-КЗ "Об охране здоровья населения Краснодарского края"
</t>
  </si>
  <si>
    <t xml:space="preserve">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
</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</si>
  <si>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транспорте общего пользования на муниципальных маршрутах регулярных перевозок в городском, пригородном, междугородном сообщениях, межмуниципальных маршрутах регулярных перевозок в пригородном сообщении, а также на смежных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–2023 годы» (за исключением мер социальной поддержки, предусмотренных подпунктом 1.1.8.1 настоящего пункта)
</t>
  </si>
  <si>
    <t xml:space="preserve">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 2023 годы» (за исключением мер социальной поддержки, предусмотренных подпунктом 1.1.8.4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</si>
  <si>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 № 5-ФЗ «О ветеранах» (пунктом 3 части 3 статьи 23.2) (за исключением мер социальной поддержки, предусмотренных подпунктом 1.1.10.1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</si>
  <si>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</si>
  <si>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</si>
  <si>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</si>
  <si>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Выплата гражданам пожилого возраста (достигшие возраста 60 и 55 лет (соответственно мужчины и женщины) либо возраста, дающего право на страховую пенсию по старости в соответствии с частью 1 статьи 8 Федерального закона                                                                                                      от 28 декабря 2013 г.                                                                № 400-ФЗ "О страховых пенсиях")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льготного обеспечения протезами, ортопедическими корригирующими изделиями, слуховыми аппаратами</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</si>
  <si>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</si>
  <si>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Оказание государственной социальной помощи малоимущим семьям, малоимущим одиноко проживающим гражданам (за исключением мероприятий, предусмотренных подпунктом 1.1.9.1.2)</t>
  </si>
  <si>
    <t>1.1.9.1.1</t>
  </si>
  <si>
    <t>Причины неполного финансирования (отсутствия финансирования)</t>
  </si>
  <si>
    <t>Причины несоблюдения планового срока реализации, неполного финансирования                   ( отсутствия финансирования)</t>
  </si>
  <si>
    <t xml:space="preserve">Контрольное событие 2.2
Развитие материально-технической базы учреждений, обслуживающих пожилых людей и инвалидов в различных условиях социальной сферы
</t>
  </si>
  <si>
    <t xml:space="preserve">Контрольное событие 2.3
Работа мобильных бригад в государственных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организована во всех сельских муниципальных образованиях края
</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</si>
  <si>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</si>
  <si>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Пособия отдельным категориям работников Краснодарского края в соответствии с Законом Краснодарского края от  21 июля 2005 г. № 921-КЗ "О государственной поддержке отдельных категорий работников Краснодарского края"</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</si>
  <si>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 № 1209-КЗ "О ежегодной денежной выплате отдельным категориям граждан, подвергшихся радиационным воздействиям, и их семьям"</t>
  </si>
  <si>
    <t xml:space="preserve">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 </t>
  </si>
  <si>
    <t xml:space="preserve">Ежемесячные денежные выплаты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труженикам тыла, - жителям Краснодарского края (за исключением мер социальной поддержки, предусмотренных подпунктом 1.1.2.1 настоящего пункта)
</t>
  </si>
  <si>
    <t>Предоставление мер социальной поддержки по оплате жилищно - коммунальных услуг отдельным категориям граждан в соответствии сфедеральными законами от 24 ноября 1995 г. № 181-ФЗ "О социальной защите инвалидов в  Российской Федерации"; Законами Российской Федерации от 12 января 1995 г. № 5-ФЗ  "О ветеранах"; от 15 мая 1991 г. № 1244-1 "О социальной защите граждан, подвергшихся воздействию радиации вследствие катастрофы на Чернобыльской АЭС"</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</si>
  <si>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</si>
  <si>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Компенсация расходов на оплату жилого помещения и коммунальных услуг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постоянно проживающим на территории Краснодарского края (за исключением мер социальной поддержки, предусмотренных подпунктом 1.1.3.1 настоящего пункта)</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</si>
  <si>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 № 537-КЗ "О ежемесячном пособи вдовам  военнослужащих, лиц рядового и начальствующего составаорганов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</si>
  <si>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</si>
  <si>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 № 40-ФЗ "О обязательном страховании гражданской ответственности владельцев транспортных средств"</t>
  </si>
  <si>
    <t>Выплата гражданам пожилого возраста (достигшим возраста 60 и 55 лет (соответственно мужчины и женщины) либо возраста, дающего право на страховую пенсию по старости в соответствии с частью 1 статьи 8
Федерального закона от 28 декабря 2013 г.                                        № 400-ФЗ "О страховых пенсиях"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государственных медицинских организациях, в организациях социального
обслуживания, у граждан, осуществляющих без образования юридического лица предпринимательскую деятельность в сфере
социального обслуживания, в целях льготного обеспечения протезами, ортопедическими корригирующими изделиями, слуховыми аппаратами (за
исключением мер социальной поддержки, предусмотренных подпунктом 1.1.5.3
настоящего пункта)</t>
  </si>
  <si>
    <t xml:space="preserve">Ежемесячная выплата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в соответствии с Законом Краснодарского края от 30 апреля 2019 г. № 4015-КЗ "О ежемесячной выплате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</si>
  <si>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                                                                                                                                                                 № 1388-КЗ "О выплате пособий на оплату проезда лицам, нуждающимся в проведении гемодиализа"</t>
  </si>
  <si>
    <t>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рамках региональногопроекта Краснодарского края "Разработка и реализация программы системной поддержки и повышения качества жизни граждан старшего поколения Старшее поколение"</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</si>
  <si>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  № 2770-КЗ "Об образовании в Краснодарском крае"
</t>
  </si>
  <si>
    <t xml:space="preserve">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   </t>
  </si>
  <si>
    <t xml:space="preserve">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  по 31 декабря 2018 г., до достижения ими возрастатрех лет в соответствии с Законом Краснодарского края  от 1 августа 2012 г. № 2568-КЗ  "О дополнительных мерах социальной поддержки отдельных категорий граждан" и ежемесячная денежная выплата нуждающимся в поддержке семьям при рождении  третьего ребенка или последующих детей, родившихся в период  с 1 января 2019 г.  по 31 декабря 2021 г. в соответствии с Законом Краснодарского края от 21 декабря 2018 г. № 3950-КЗ "О ежемесячной денежной выплате нуждающимся в поддержке семьям при рождении третьего ребенка или последующих детей" в рамках регионального проекта Краснодарского края "Финансовая поддержка семей при рождении детей" </t>
  </si>
  <si>
    <t>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в рамках регионального проекта Краснодарского края "Финансовая поддержка семей при рождении детей"</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</si>
  <si>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</si>
  <si>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</si>
  <si>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</si>
  <si>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 № 1132-КЗ "О комиссиях по делам несовершеннолет них и защите их прав в Краснодарском крае"</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</si>
  <si>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г. № 120-ФЗ "Об основах системы профилактики безнадзорности и правонарушений несовершеннолетних"</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</si>
  <si>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</si>
  <si>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 xml:space="preserve">Предоставление мер социальной поддержки по оплате жилищно-коммунальных услуг отдельным категориям граждан в соответствии с Федеральным законом от 24 ноября 1995 г.          № 181-ФЗ "О социальной защите инвалидов в Россий-ской Федерации"; Законами Российской Федерации от 12 января 1995 г. № 5-ФЗ "О ветеранах"  от 15 мая 1991 г.  № 1244-1 "О социальной защите граждан, подвергшихся воздействию радиации вследствие катастрофы на Чернобыльской АЭС"
</t>
  </si>
  <si>
    <t xml:space="preserve">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 </t>
  </si>
  <si>
    <t>Предоставление ежегодной денежной выплаты лицам, награжденным нагрудными знаками "Почетный донор России", "Почетный донор СССР" в соответствии с Федеральным законом                             от 20 июля 2012 г.  № 125-ФЗ            "О донорстве крови и ее компонентов"</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</si>
  <si>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 № 1026-КЗ "О статусе Героев Кубани и Героев труда Кубани"</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</si>
  <si>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 № 1026-КЗ "О статусе Героев Кубани и Героев труда Кубани"</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</si>
  <si>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маршрутах регулярных перевозок в городском, пригородном, междугородном          сообщениях, межмуниципальных маршрутах регулярных перевозок в пригородном сообщении, а также на смежных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–2023 годы» (за исключением мер социальной поддержки, предусмотренных подпунктом 1.1.8.1 настоящего пункта)
</t>
  </si>
  <si>
    <t xml:space="preserve">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 2023 годы» (за исключением мер социал-ной поддержки, пред-смотренных подпунктом 1.1.8.4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</si>
  <si>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</si>
  <si>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          № 5-ФЗ «О ветеранах»                       (пунктом 3 части 3 статьи 23.2) (за исключением мер социальной поддержки, предусмотренных под-пунктом 1.1.10.1 настоящего пункта)
</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</si>
  <si>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  № 3051-КЗ                                        "О социальном обслуживании населения на территории Краснодарского края"</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</si>
  <si>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  № 90-КЗ "Об охране здоровья населения Краснодарского края"</t>
  </si>
  <si>
    <t>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 и находящихся на смешанном или искусственном вскармливании, изсемей со среднедушевым доходом, размер которого не превышает величины прожиточного минимума на душу населения, установленного в Краснодарском крае в соответствии с Законом Краснодарского края                                                                                 от 30 июня 1997 г. № 90-КЗ "Об охране здоровья населения Краснодарского края"</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</si>
  <si>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</si>
  <si>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начальник отдела организации 
адресного предоставления льгот и субсидий Ролик Н.И.,                          начальник отдела по социальной  защите семьи, материнства, детства в управлении 
оздоровления и отдыха детей                                                                                         Голыба В.Н.,                                  начальник отдела развития семейных форм устройства  детей-сирот и детей, оставшихся без попечения родителей               Босенко Ю.Л., начальник отдела организации назначения и выплаты  государственных гарантий и компенсаций Пономаренко Н.Ю., начальник отдела организации оздоровления и отдыха детей в управлении оздоровления и отдыха детей   Рохлин П.Н.</t>
  </si>
  <si>
    <t>Выплата пособия на ребенка в соответствии с Законом Краснодарского края                              от 15 декабря 2004 г.  № 807-КЗ "О пособии на ребенка"</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</si>
  <si>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  по 31 декабря 2018 г., до достижения ими возраста трех лет в соответствии с Законом Краснодарского края от 1 августа 2012 г.  № 2568-КЗ "О дополнительных мерах социальной поддержки отдельных категорий граждан" и ежемесячная денежная выплата нуждающимся в поддержке семьям при рождении  третьего ребенка или последующих детей, родившихся в период                                                               с 1 января 2019 г.                                     по 31 декабря 2021 г. в соответствии с Законом Краснодарского края                                                              от 21 декабря 2018 г.                                                                                       № 3950-КЗ "О ежемесячной денежной выплате нуждающимся в поддержке семьям при рождении третьего ребенка или последующих детей" в рамках регионального проекта Краснодарского края "Финансовая поддержка семей при рождении детей"</t>
  </si>
  <si>
    <t>Предоставление мер социальной поддержки по обеспечению жильем отдельных категорий граждан, установленных Федеральным законом                                     от 12 января 1995 г. № 5-ФЗ «О ветеранах» (пунктом 2 части 3 статьи 23.2), в соответствии с Указом Президента Российской Федерации от 7 мая 2008 г.         № 714 «Об обеспечении жильем ветеранов Великой Отечественной войны 1941 - 1945 годов»</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</si>
  <si>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  № 3051-КЗ "О социальном обслуживании населения на территории Краснодарского края"</t>
  </si>
  <si>
    <t xml:space="preserve">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 </t>
  </si>
  <si>
    <t>не выполнено</t>
  </si>
  <si>
    <t xml:space="preserve">не выполнено </t>
  </si>
  <si>
    <t>Значение целевого показателя на:</t>
  </si>
  <si>
    <t>Изготовление бланков удостоверений многодетной семьи</t>
  </si>
  <si>
    <t>Предшествую- щий отчетный год</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</si>
  <si>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t>
  </si>
  <si>
    <t xml:space="preserve">начальник планово-финансового отдела Зенкин Р.С.
</t>
  </si>
  <si>
    <t>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</si>
  <si>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</si>
  <si>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</si>
  <si>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</si>
  <si>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</si>
  <si>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начальник планово-финансового отдела Зенкин Р.С..,                          начальник отдела организации адресного предоставления льгот и субсидий Ролик Н.И.</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</si>
  <si>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</si>
  <si>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</si>
  <si>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</si>
  <si>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</si>
  <si>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</si>
  <si>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</si>
  <si>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</si>
  <si>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</si>
  <si>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</si>
  <si>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 планово-финансового отдела Зенкин Р.С.,
начальник отдела по делам 
ветеранов Чернышева Е.В. </t>
  </si>
  <si>
    <t xml:space="preserve">начальник планово-финансового отдела Зенкин Р.С.,
начальник отдела по делам 
ветеранов Чернышева Е.В. 
</t>
  </si>
  <si>
    <t>начальник планово-финансового отдела Зенкин Р.С., 
начальник отдела организации адресного предоставления льгот и субсидий Ролик Н.И.</t>
  </si>
  <si>
    <t xml:space="preserve">начальник планово-финансового отдела Зенкин Р.С.,                          начальник отдела по делам ветеранов 
Чернышева Е.В.,
начальник отдела организации назначения и выплаты государственных гарантий и компенсаций Пономаренко Н.Ю.,
начальник отдела организации адресного предоставления льгот и субсидий Ролик Н.И.
</t>
  </si>
  <si>
    <t>начальник планово-финансового отдела Зенкин Р.С.</t>
  </si>
  <si>
    <t>начальник планово-финансового отделаЗенкин Р.С.</t>
  </si>
  <si>
    <t xml:space="preserve">начальник планово-финансового отдела Зенкин Р.С.,
Начальник отдела организации деятельности домов-интернатов 
Талькова Т.Н.
</t>
  </si>
  <si>
    <t xml:space="preserve">начальник планово-финансового отдела Зенкин Р.С.,
начальник отдела организации социального обслуживания Дегтярь Л.В.
</t>
  </si>
  <si>
    <t xml:space="preserve">начальник планово-финансового отдела Зенкин Р.С.,
начальник отдела организации социального обслуживания Дегтярь Л.В.
</t>
  </si>
  <si>
    <t>Начальник планово-финансового отдела Зенкин Р.С.,
начальник отдела организации социального обслуживания Дегтярь Л.В.</t>
  </si>
  <si>
    <t xml:space="preserve">начальник планово-финансового отдела 
Зенкин Р.С.
</t>
  </si>
  <si>
    <t xml:space="preserve">начальник планово-финансового отдела Зенкин Р.С.,
начальник отдела организации 
деятельности домов-интернатов в
Талькова Т.Н.
</t>
  </si>
  <si>
    <t xml:space="preserve">начальник планово-финансового отдела Зенкин Р.С.,
начальник отдела организации и реабилитации инвалидов 
Шульга И.А., 
начальник отдела организации деятельности учреждений для несовершеннолетних Исаева И.Г.
</t>
  </si>
  <si>
    <t>начальник планово-финансового отдела Зенкин Р.С.,
 начальник отдела организации оздоровления и отдыха детей в управлении оздоровления и отдыха детей   Левченко В.Е.,
начальник отдела организации деятельности учреждений для несовершеннолетних Рохлин П.Н.</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</si>
  <si>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</si>
  <si>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
</t>
  </si>
  <si>
    <t>начальник планово-финансового отдела Зенкин Р.С.,
начальник отдела организации 
назначения и выплаты 
государственных гарантий и компенсаций Пономаренко Н.Ю.</t>
  </si>
  <si>
    <t xml:space="preserve">начальник планово-финансового отдела Зенкин Р.С.,
начальник отдела по социальной защите семьи, материнства, детства в управлении оздоровления и отдыха детей                                                        Голыба В.Н.
</t>
  </si>
  <si>
    <t xml:space="preserve">начальник планово-финансового отдела Зенкин Р.С.,
начальник отдела развития семейных форм устройства детей-сирот и детей, оставшихся без попечения родителей                         Босенко Ю.Л. </t>
  </si>
  <si>
    <t xml:space="preserve">начальник планово-финансового отдела Зенкин Р.С.,
начальник отдела развития 
семейных форм устройства 
детей-сирот и детей, оставшихся без попечения родителей 
Босенко Ю.Л. 
</t>
  </si>
  <si>
    <t xml:space="preserve">начальник планово-финансового отдела Зенкин Р.С.,
начальник отдела организации 
адресного предоставления льгот и субсидий Ролик Н.И. 
</t>
  </si>
  <si>
    <t xml:space="preserve">начальника планово-финансового отдела Зенкин Р.С.,
начальник отдела развития семейных форм устройства 
детей-сирот и детей, оставшихся без попечения родителей 
Босенко Ю.Л. 
</t>
  </si>
  <si>
    <t xml:space="preserve">начальника планово-финансового отдела Зенкин Р.С.,
начальник отдела развития семейных форм устройства 
детей-сирот и детей, оставшихся без попечения родителей 
Босенко Ю.Л. </t>
  </si>
  <si>
    <t xml:space="preserve">начальник планово-финансового отдела Зенкин Р.С.,
начальник отдела обеспечения деятельности комиссии по делам несовершеннолетних и защите их прав Панченко Р.А.
</t>
  </si>
  <si>
    <t xml:space="preserve">начальник планово-финансового отдела Зенкин Р.С.,
начальник отдела организации деятельности учреждений для несовершеннолетних Исаева И.Г.
</t>
  </si>
  <si>
    <t xml:space="preserve">начальник планово-финансового отдела Зенкин Р.С.,
начальник отдела развития семейных форм устройства 
детейсирот и детей, оставшихся без попечения родителей                                               
Босенко Ю.Л.
</t>
  </si>
  <si>
    <t>Тришкин Данил Олегович
+7 (861) 259-22-97</t>
  </si>
  <si>
    <t>за  2020 год</t>
  </si>
  <si>
    <t xml:space="preserve">   за 2020 год</t>
  </si>
  <si>
    <r>
      <t xml:space="preserve">   за 2020 год</t>
    </r>
    <r>
      <rPr>
        <sz val="14"/>
        <color theme="0"/>
        <rFont val="Times New Roman"/>
        <family val="1"/>
        <charset val="204"/>
      </rPr>
      <t>.</t>
    </r>
  </si>
  <si>
    <t>С 27 марта 2020 г. отменены заезды организованных групп детей на санаторно- курортное лечение в ГАУ КК "Апшеонский ДОЛ" и его филиал</t>
  </si>
  <si>
    <t>7183</t>
  </si>
  <si>
    <t>Реализация мероприятия в полном объеме в 2020 году не состоялась в связи с введением на территроии Краснодарского края ограничительных мероприятий по предотвращению распространения коронавирусной инфекции</t>
  </si>
  <si>
    <t>заявительный характер выплаты пособий и компенсаций, зависит от доходов граждан, а также от установленных размеров региональных стандартов</t>
  </si>
  <si>
    <t>заявительный характер выплаты пособий и компенсаций. Назначается гражданам пожилого возраста, достигшим 55 лет (женщины) и 60 лет (мужчины), и одиноким гражданам,  не имеющим инвалидности, при наличии медицинских показаний о нуждаемости  в протезно-ортопедических изделиях и слуховых аппаратах</t>
  </si>
  <si>
    <t xml:space="preserve">Заявительный порядок обращения. </t>
  </si>
  <si>
    <t>заявительный характер выплаты пособий и компенсаций, зависит от присвоения статуса "Герой труда Кубани" или "Герой Кубани", от выбора указанными гражданами получения льгот в натуральном виде и обращений граждан за предоставлением натуральных льгот (возмещением в связи с сооружением надгробия умершим Героям труда Кубани и Героям Кубани).</t>
  </si>
  <si>
    <t xml:space="preserve">заявительный характер выплаты пособий и компенсаций, назначается министерством на основании документов, подтверждающих статус Героя  </t>
  </si>
  <si>
    <t>Заявительный порядок обращения. Численность перевезенных несовершеннолетних зависит от фактической потребности в оказании услуги, карантинные мероприятия</t>
  </si>
  <si>
    <t>Отклонение объема профинансированных  средств от объема финансирования, предусмотренного уточненной сводной бюджетной росписью составляет 124,7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</si>
  <si>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составляет 44 003,2 тыс. рублей. Остаток сложился в связи с отсутствием заявлений граждан на получение мер социальной поддержки.</t>
  </si>
  <si>
    <t>6781</t>
  </si>
  <si>
    <t xml:space="preserve">Заявительный принцип, назначается, если среднедушевой доход умершего или среднедушевой доход всех совместно проживавших с ним членов семьи, включая доход умершего (погибшего), на день его смерти не превышал величину прожиточного минимума, установленого в КК для соответствующих социально-демографических групп населения </t>
  </si>
  <si>
    <t>заявительный характер выплаты пособий и компенсаций, выплачивается в пределах гарантированного перечня ритуальных услуг, установленного на территории Краснодарского края, за вычетом суммы социального пособия на погребение (5945 рублей 26 копеек)</t>
  </si>
  <si>
    <t xml:space="preserve">Заявительный порядок обращения, назначается на основании удостоверения о награждении нагрудным знаком "Почетный донор России"(Почетный донор СССР") выдаваемого Минздравом России </t>
  </si>
  <si>
    <t xml:space="preserve">предоставление дополнительных мер социальной поддержки по оплате проезда не являются обязательными, носят заявительный характер обращений, зависит от нуждаемости граждан в пользовании льготным проездом, а также дохода и изменения величины прожиточного минимума, которая ежеквартально меняется. </t>
  </si>
  <si>
    <t>В 2020 году  приказами министерства труда и социального развития Краснодарского края предоставлена единовременная денежная выплата на приобретение или строительство жилого помещения 35 гражданам из числа ветеранов боевых действий, членов семей погибших (умерших) инвалидов и ветеранов боевых действий. Из них приобрели жилые помещения 30 граждан, произведено расходов на сумму 25277,940 тыс. рублей.  5 граждан не реализовали единовременную денежную выплату
 в связи с наличием срока реализации меры социальной поддержки  - 9 месяцев. Сумма распределенных средств составляет 4212,990 тыс рублей.</t>
  </si>
  <si>
    <t>В 2020 году  приказами министерства труда и социального развития Краснодарского края предоставлена единовременная денежная выплата на приобретение жилого помещения в собственность 43 гражданам из числа инвалидов и семей, имеющих детей-инвалидов. Из них приобрели жилые помещения 42 гражданина, произведено расходов на сумму 35389,116 тыс. рублей.  1 гражданин не реализовал единовременную денежную выплату
 в связи с наличием срока реализации меры социальной поддержки  - 9 месяцев. Сумма распределенных средств составляет 842,598 тыс рублей.</t>
  </si>
  <si>
    <t>42</t>
  </si>
  <si>
    <t>Заявительный порядок обращения.</t>
  </si>
  <si>
    <t>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</si>
  <si>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Остаток сложился в связи с отсутствием заявлений граждан на получение мер социальной поддержки.</t>
  </si>
  <si>
    <t>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</si>
  <si>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 xml:space="preserve"> Остаток сложился в связи с отсутствием заявлений граждан на получение мер социальной поддержки, а также в связи с неполным сроком получения пособия</t>
  </si>
  <si>
    <t>Экономия по результатам торгов</t>
  </si>
  <si>
    <t>Заявительный характер выплаты</t>
  </si>
  <si>
    <t xml:space="preserve"> Экономия по результатм конкурсных процедур.</t>
  </si>
  <si>
    <t xml:space="preserve">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</si>
  <si>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 Остаток сложился в связи с отсутствием заявлений граждан на получение мер социальной поддержки. </t>
  </si>
  <si>
    <t xml:space="preserve"> Остаток сложился в связи с отсутствием заявлений на получение выплаты и заявительным характером выплаты</t>
  </si>
  <si>
    <t>Заявительный характер, назначается на основании удостоверения о награждении нагрудным знаком "Почётный донор России" ("Почетный донор СССР"). По факту выполнения меропрития. (Размер выплаты ежегодно индексируется). Существуют ситуации, когда выплаты осуществляют и за прошлый период (в случае если гражданин имел право на выплату, но не воспользовался ею), в этом случает размер выплаты составляет размеру, утвержденному на тот период</t>
  </si>
  <si>
    <t>1.1.3.13**</t>
  </si>
  <si>
    <t xml:space="preserve">Отметка о выполнении мероприя-тия </t>
  </si>
  <si>
    <t>соглашениями с муници-пальными образованиями</t>
  </si>
  <si>
    <t>1.1.2.3*</t>
  </si>
  <si>
    <t>1.1.2.5*</t>
  </si>
  <si>
    <t>1.1.3.3*</t>
  </si>
  <si>
    <t>1.1.6.1*</t>
  </si>
  <si>
    <t>1.1.2.6*</t>
  </si>
  <si>
    <t>1.1.2.10*</t>
  </si>
  <si>
    <t>1.1.2.12*</t>
  </si>
  <si>
    <t>* Отклонение между объемом финансирования предусмотренным государственной программой и уточненной сводной бюджетной росписью составляет 1 251 569,4 тыс. рублей, что связано с  внесением соответствующих изменений в государственную программу в части уточнения объема финансирования из федерального бюджета по пунктам 1.1.2.3, 1.1.2.5, 1.1.3.3, 1.1.6.1 подпрограммы № 1 и пунктам 1.1.2.6, 1.1.2.10, 1.1.2.12 подпрограммы № 3.</t>
  </si>
  <si>
    <t xml:space="preserve">* Фактическая кассовое исполнение по плану реализации (63 503 709,4 тыс. руб), что не соответствует фактическому кассовому исполению, указанному в отчете по финансированию (63 503 489,3 тыс. руб). Отклонение составляет 220,1 тыс. руб, что связанно с возвратом средств в краевой бюджет по мероприятиям пункта 1.1.9.2 на сумму 0,1 тыс. рублей и пункта 1.1.3.13 на сумму 220 тыс. рублей.                                                                                                                                                                                                                                                                                                                                                                                                                                                                                                                                                        **  По мероприятию п. 1.1.3.13  фактический кассовый расход в III квартале составил 4 180,0 тыс. рублей. Субсидия перечислены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размере 4 400,0 тыс. рублей, однако экономия по результатам конкурсных процедур составила 220,0 тыс. рублей. На отчетную дату кассовый расход по мероприятию составил 4 180,0 тыс. рублей, что соответствует отчету об исполнении финансирования госпрограммы за  2020 г. </t>
  </si>
  <si>
    <t>В 2020 году  приказами министерства труда и социального развития Краснодарского края предоставлена единовременная денежная выплата на приобретение или строительство жилого помещения 41 гражданину из числа ветеранов Великой Отечественной войны, членов семей погибших (умерших) инвалидов и участников Великой Отечественной войны. Из них приобрели жилые помещения 35 граждан за счет средств федерального бюджета, произведено расходов на сумму 58981,860 тыс. рублей.  5 приобрели жилые помещения  за счет средств краевого бюджета, произведено расходов на сумму 8425,980 тыс. рублей.
 1 гражданин не реализовал единовременную денежную выплату за счет краевого бюджета  в связи с наличием срока реализации меры социальной поддержки  - 9 месяцев. Сумма распределенных средств составляет 1685,196 тыс рублей.</t>
  </si>
  <si>
    <t>едениц</t>
  </si>
  <si>
    <t xml:space="preserve">Выплата пособия на ребенка в соответствии с Законом Краснодарского края от 15 декабря 2004 г.3 № 807-КЗ "О пособии на ребенка"    
</t>
  </si>
  <si>
    <t>1.1.9.1.2</t>
  </si>
  <si>
    <t xml:space="preserve">Не выполнение планового показателя связанно с недостаточностью средств на реализаццию мероприятия всвязи с удорожанием цены на закупку специализированных продуктов детского питания </t>
  </si>
  <si>
    <t xml:space="preserve">Выплата осуществляется  по постановлениям главы администрации                                                                                                                                                                                (губернатора) Краснодарского края </t>
  </si>
  <si>
    <t xml:space="preserve">Выплата осуществляется по постановлениям главы администрации (губернатора) Краснодарского края  </t>
  </si>
  <si>
    <t>Отклонение объема профинансированных  средств от объема финансирования, предусмотренного уточненной сводной бюджетной росписью составляет 0,2  тыс. рублей. Экономия сложившаяся по факту выполнения мероприятия</t>
  </si>
  <si>
    <t>Д.А. Ирхин</t>
  </si>
  <si>
    <t xml:space="preserve">Заявительный характер предоставления мер </t>
  </si>
  <si>
    <t>Отклонение объема профинансированных  средств от объема финансирования, предусмотренного уточненной СБР составляет 10 899,4 тыс. рублей.  Остатки по гос. контрактам на исполнение бюджетных  обязательств в 2020 год, возмещения задолженности ФСС(по больничным листам, пособиям по беременности и родам).</t>
  </si>
  <si>
    <t>Отклонение объема профинансированных  средств от объема финансирования, предусмотренного уточненной СБР составляет 6,9  тыс. рублей. Заявительный характер выплаты</t>
  </si>
  <si>
    <t>Отклонение объема профинансированных  средств от объема финансирования, предусмотренного уточненной СБР составляет 949,1 тыс. рублей. Заявительный характер выплаты</t>
  </si>
  <si>
    <t>Отклонение объема профинансированных  средств от объема финансирования, предусмотренного уточненной СБР составляет 155,7 тыс. рублей. Остаток сложился из-за того что размер выплаты расчитывается из фактически предоставленных документов за приобритенные протезно-ортопедические изделия. Заявительный характер выплаты</t>
  </si>
  <si>
    <t xml:space="preserve">Отклонение объема профинансированных  средств от объема финансирования, предусмотренного уточненной СБР составляет 912,7 тыс. рублей. Экономия сложилась из-за того что размер выплаты расчитывается из средней протяженности маршрутов и тарифов установленных на проезд. </t>
  </si>
  <si>
    <t>Отклонение объема профинансированных  средств от объема финансирования, предусмотренного уточненной СБР составляет 0,1 тыс. рублей. Экономия сложилась  по результатм конкурсных процедур.</t>
  </si>
  <si>
    <t>Отклонение объема профинансированных  средств от объема финансирования, предусмотренного уточненной СБР составляет 1 845,6 тыс. рублей. Не полное освоение образовалось в результате оплаты мер соц поддержки сотрудникам согласно фактически предоставленным документам</t>
  </si>
  <si>
    <t>Отклонение объема профинансированных  средств от объема финансирования, предусмотренного уточненной СБР составляет 1 845,7 тыс. рублей.</t>
  </si>
  <si>
    <t xml:space="preserve">Отклонение объема профинансированных  средств от объема финансирования, предусмотренного уточненной СБР составляет 1 598,5 тыс. рублей. </t>
  </si>
  <si>
    <t xml:space="preserve">Отклонение объема профинансированных  средств от объема финансирования, предусмотренного уточненной СБР составляет 1 575,9 тыс. рублей. </t>
  </si>
  <si>
    <t>Отклонение объема профинансированных  средств от объема финансирования, предусмотренного уточненной СБР составляет 72 507,1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</si>
  <si>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СБР составляет 1 085,2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</si>
  <si>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СБР составляет 235,6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</si>
  <si>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9 73,3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</si>
  <si>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143,5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</si>
  <si>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29,8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</si>
  <si>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сводной бюджетной росписью составляет 1205,3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</si>
  <si>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0,1 тыс. рублей. Экономия по результатм конкурсных процедур.</t>
  </si>
  <si>
    <t>Отклонение объема профинансированных  средств от объема финансирования, предусмотренного уточненной СБР составляет 40 631,9 тыс. рублей. Заявительный характер выплаты</t>
  </si>
  <si>
    <t xml:space="preserve"> Остатки по гос. контрактам на исполнение бюджетных  обязательств в 2020 год, возмещения задолженности ФСС(по больничным листам, пособиям по беременности и родам).</t>
  </si>
  <si>
    <t>Остаток сложился в связи с тем, что часть граждан получала выплату не полностью в течение всего отчетного периода, а только с момента назначения выплаты. При определении размера выплаты учитывается размер пенсии заявителя.</t>
  </si>
  <si>
    <t>Экономия  сложилась с учетом периода получения выплаты гражданином  менее 12 месяцев</t>
  </si>
  <si>
    <t xml:space="preserve">Экономия сложилась  по причине заявительного характера предоставления выплат </t>
  </si>
  <si>
    <t xml:space="preserve">Экономия сложилась в связи с экономией. По причине заявительного характера предоставления выплат </t>
  </si>
  <si>
    <t>Экономия сложилась в связи с заявительныйм характером выплаты.</t>
  </si>
  <si>
    <t xml:space="preserve">Экономия  сложилась с учетом периода получения выплаты гражданином  менее 12 месяцев </t>
  </si>
  <si>
    <t>Экономия  сложилась с учетом периода получения выплаты гражданином  менее 12 месяцев и естественной убылью получателей</t>
  </si>
  <si>
    <t>Экономия  сложилась  в связи с получением компенсации  периода получения выплаты гражданином  менее 12 месяце</t>
  </si>
  <si>
    <t xml:space="preserve">Сумма произведенных компенсационных выплат сложилась ниже запланированной в результате предоставления компенсационных сумм разного размера в зависимости от размера уплаченных страховой фирмой </t>
  </si>
  <si>
    <t>Остаток сложился из-за того что размер выплаты расчитывается из фактически предоставленных документов за приобритенные протезно-ортопедические изделия. Заявительный характер выплаты</t>
  </si>
  <si>
    <t xml:space="preserve"> Экономия  сложилась в связи с отсутствием заявлений граждан на получение мер социальной поддержки. </t>
  </si>
  <si>
    <t>Отклонение объема профинансированных  средств от объема финансирования, предусмотренного уточненной СБР составляет 21,6 тыс. рублей. Экономия  сложилась в тем, что стоимость оплаты проезда не фиксированная и зависит от расстояния до места реабилитации, от вида транспорта и от наличия сопровождающего инва-лида, в связи с этим установить точный размер выплаты не представляется возможным.</t>
  </si>
  <si>
    <t>Экономия  сложилась в тем, что стоимость оплаты проезда не фиксированная и зависит от расстояния до места реабилитации, от вида транспорта и от наличия сопровождающего инва-лида, в связи с этим установить точный размер выплаты не представляется возможным.</t>
  </si>
  <si>
    <t xml:space="preserve">Экономия сложилась из-за того что размер выплаты расчитывается из средней протяженности маршрутов и тарифов установленных на проезд. </t>
  </si>
  <si>
    <t xml:space="preserve">Экономия сложилась в связи с тем, что часть граждан получала выплату не полностью в течение всего отчетного периода, а только с месяца обращения за назначением выплаты. </t>
  </si>
  <si>
    <t>Экономия сложившаяся по факту выполнения мероприятия</t>
  </si>
  <si>
    <t>1.1.9.1.2*</t>
  </si>
  <si>
    <t xml:space="preserve">Заявительный характер выплат </t>
  </si>
  <si>
    <t xml:space="preserve"> Заявительный характер выплаты</t>
  </si>
  <si>
    <t>В целях выполнения распоряжения главы администрации (губернатора) Краснодарского края от 06.04.2020 № 83-р, в государственных бюджетных (автономных) учреждениях Краснодарского края подведомственных министерству труда и социального развития Краснодарского края приостановлено осуществление закупок товаров, работ, услуг, для обеспечения государственных нужд (по закупкам, источником финансового обеспечения которых являются средства краевого бюджета), за исключением закупок, осуществляемых в рамках реализации региональных проектов, мероприятий, связанных с профилактикой и устранением последствий распространения новой коронавирусной инфекцией (COVID-2019). Обучение граждан проводилось в дистанционном режиме, в рамках экономии денежные средства не тратились.</t>
  </si>
  <si>
    <t xml:space="preserve">Экономия сложилась из-за того, что размеры выплат по данному мероприятию различны и подавляющее большинство граждан обратилось за выплатой меньшего размера. Заявительный порядок обращения. </t>
  </si>
  <si>
    <t>Остаток сложился в связи  с фактической численностью получателей выплат,  по сравнению с запланированной</t>
  </si>
  <si>
    <t xml:space="preserve">Первый заместитель министра                 </t>
  </si>
  <si>
    <t>Тришкин Данил Олегович</t>
  </si>
  <si>
    <t xml:space="preserve"> +7 (861) 259-22-97</t>
  </si>
  <si>
    <t>Тришкин Данил Олегович                                       +7 (861) 259-22-97</t>
  </si>
  <si>
    <t>Отклонение объема профинансированных  средств от объема финансирования, предусмотренного уточненной СБРсоставляет 4 263,5 тыс. рублей. Остаток   сложился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</si>
  <si>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23 210,5тыс.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</si>
  <si>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СБРсоставляет 67 007,5 тыс. рублей. Экономия  сложилась в связи с тем, что в Краснодарском крае сохранен авансовый платеж предоставления компенсации на оплату жилого помещения и коммунальных услуг в текущем месяце за текущий месяц, компенсация на коммунальные услуги предоставляются исходя из нормативов потребления коммунальных услуг</t>
  </si>
  <si>
    <t>Отклонение объема профинансированных  средств от объема финансирования, предусмотренного уточненной СБР составляет 88 852,4  тыс. рублей. Экономия  сложилась в связи с тем, что в Краснодарском крае сохранен авансовый платеж предоставления компенсации на оплату жилого помещения и коммунальных услуг в текущем месяце за текущий месяц, компенсация на коммунальные услуги предоставляются исходя из нормативов потребления коммунальных услуг</t>
  </si>
  <si>
    <t>Отклонение объема профинансированных  средств от объема финансирования, предусмотренного уточненной сводной бюджетной росписью составляет 543,4 тыс. рублей. Экономия  сложилась с учетом периода получения выплаты гражданином  менее 12 месяцев</t>
  </si>
  <si>
    <t xml:space="preserve">Отклонение объема профинансированных  средств от объема финансирования, предусмотренного уточненной СБР составляет 5,4  тыс. рублей. Экономия сложилась по факту выполненных работ, оказанных услуг </t>
  </si>
  <si>
    <t>Отклонение объема профинансированных  средств от объема финансирования, предусмотренного уточненной СБР составляет 217 тыс. рублей. Экономия  сложилась в результате того, что сумма произведенных компенсационных выплат сложилась ниже запланированной в результате предоставления ком-пенсационных сумм разного размера в зависимости от размера уплаченных страховой фирмой</t>
  </si>
  <si>
    <t>Отклонение объема профинансированных  средств от объема финансирования, предусмотренного уточненной СБР составляет 1295,3 тыс. рублей. Остаток сложился по факту выполнения мероприятия (размеры выплат различны для указанных категорий в соответствии со статьей 7 Закона Краснодарского края «О статусе Героев Кубани и Героев труда Кубани» от 5 мая 2006 г.);</t>
  </si>
  <si>
    <t>Отклонение объема профинансированных  средств от объема финансирования, предусмотренного уточненной СБР составляет 6 361,3 тыс. рублей. Заявительный характер,</t>
  </si>
  <si>
    <t>Отклонение объема профинансированных  средств от объема финансирования, предусмотренного уточненной СБР составляет 12 198,2 тыс. рублей. Остаток сложился с учетом периода получения выплаты гражданином  менее 12 месяце</t>
  </si>
  <si>
    <t>Отклонение объема профинансированных  средств от объема финансирования, предусмотренного уточненной СБР составляет 16 043,6 тыс. рублей. Экономия сложилась в связи с тем, что часть граждан получала выплату не полностью в течение всего отчетного периода (выплачивается ежеквартально), а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</si>
  <si>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686,2 тыс. рублей. Экономия сложилась в связи с выплатой пособий большему количеству граждан в меньшей сумме в зависимости от возраста ребенка</t>
  </si>
  <si>
    <t xml:space="preserve"> сложился в результате несоответствия поставщиков социальных услуг требованиям квалификации, опыта оказания услуг, отсутствия необходимых ресурсов, а также в связи с введением огра-ничительных мероприятий</t>
  </si>
  <si>
    <t>Экономия сложилась по факту выполнения мероприятия (фактическая перевозка)</t>
  </si>
  <si>
    <t>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</si>
  <si>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 xml:space="preserve">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</si>
  <si>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 xml:space="preserve"> Экономия сложилась в связи с тем, что часть граждан получала выплату не полностью в течение всего отчетного периода, а с месяца обращения за назначением выплаты</t>
  </si>
  <si>
    <t>Экономия средств сложилась в связи с тем, что часть граждан получала выплату не полностью в течение всего отчетного периода, а с месяца обращения за назначением выплаты</t>
  </si>
  <si>
    <t>Экономия сложилась в связи с тем, что часть граждан получала выплату не полностью в течение всего отчетного периода, а с месяца обращения за назначением выплаты</t>
  </si>
  <si>
    <t>Экономия сложилась в связи с выплатой средств материнского семейного капитала большему количеству граждан в меньшей сумме в зависимости от расходов на оплату содержания ребенка в детском дошкольном учреждении, учебы в высшем учебном заведении</t>
  </si>
  <si>
    <t>Экономия сложилась в связи с выплатой пособий большему количеству граждан в меньшей сумме в зависимости от возраста ребенка</t>
  </si>
  <si>
    <t xml:space="preserve"> Экономия сложилась в связи с тем, что часть граждан получала выплату не полностью в течение всего отчетного периода (выплачивается ежеквартально), а с месяца обращения за назначением вы-платы</t>
  </si>
  <si>
    <t>Остаток в сумме 41,5 тыс. рублей сложился в связи с недостаточностью средств выплаты единовременного денежного пособия усыновителям.</t>
  </si>
  <si>
    <t>Сумма произведенных  выплат сложиласть в связи с тем, что часть граждан получала выплату не полностью в течение всего отчетного периода, а с месяца обращения за назначением вы-платы;</t>
  </si>
  <si>
    <t>Остаток сложился в связи с отсутствием заявлений граждан на получение мер социальной поддержки, в связи с неполным сроком получения пособия</t>
  </si>
  <si>
    <t>Остаток сложился в связи с тем, что размер выплаты зависит от количества детей в семье.</t>
  </si>
  <si>
    <t xml:space="preserve"> Экономия сложилась в связи с заявительным характером выплаты</t>
  </si>
  <si>
    <t xml:space="preserve"> Остаток сложился с учетом периода получения выплаты гражданином  менее 12 месяце</t>
  </si>
  <si>
    <t>Что связано с оптимизацией расходов в целях реализации мер по обеспечению сбалансированности краевого бюджета, в соответствии с распоряжением 83-р от 06.04.2020 г. и отсутствием возможности перераспределения сло-жившейся экономии средств между учреждениями</t>
  </si>
  <si>
    <t xml:space="preserve"> Что связано с оптимизацией расходов в целях реализации мер по обеспечению сбалансированности краевого бюджета, в соответствии с распоряжением 83-р от 06.04.2020 г. и отсутствием возможности перераспределения сло-жившейся экономии средств между учреждениями  </t>
  </si>
  <si>
    <t xml:space="preserve"> Остаток средств сложился в связи с тем, что негосударственные поставщики социальных услуг оказывают только отдельные услуги в форме социального обслуживания на дому и в полустационарной форме и у них отсутствуют необходимые ресурсы, квалифицированные работники, опыт оказания услуг в сфере социального обслуживания, а также в связи с введением ограничительных мероприятий связанных с распрорстранением новой коронавирусной инфекции</t>
  </si>
  <si>
    <t xml:space="preserve"> Остаток сложился в связи с отсутствием заявлений граждан на получение мер соци-альной поддержки, а также в связи с расторжением договоров из-за смерти опекаемых. В результате чего перераспределение средств на другие меро-приятия государственной программы являлось нецелесообразным</t>
  </si>
  <si>
    <t xml:space="preserve"> Не полное освоение образовалось в результате оплаты мер соц поддержки сотрудникам согласно фактически предоставленным документам</t>
  </si>
  <si>
    <t>Экономия сложилась  по результатм конкурсных процедур.</t>
  </si>
  <si>
    <t xml:space="preserve">В целях выполнения распоряжения главы администрации (губернатора) Краснодарского края от 06.04.2020 № 83-р, в государственных бюджетных (автономных) учреждениях Краснодарского края подведомственных министерству труда и социального развития Краснодарского края приостановлено осуществление закупок товаров, работ, услуг, для обеспечения государственных нужд (по закупкам, источником финансового обеспечения которых являются средства краевого бюджета), за исключением закупок, осуществляемых в рамках реализации региональных проектов, мероприятий, связанных с профилактикой и устранением последствий распространения новой коронавирусной инфекцией (COVID-2019). </t>
  </si>
  <si>
    <t xml:space="preserve">Отклонение объема профинансированных  средств от объема финансирования,  предусмотренного уточненной СБР составляет 609,2 тыс. рублей. остаток сложилась из-за того, что размеры выплат по данному мероприятию различны и подавляющее большинство граждан обратилось за выплатой меньшего размера. Заявительный порядок обращения. </t>
  </si>
  <si>
    <t>Отклонение объема профинансированных  средств от объема финансирования, предусмотренного уточненной СБР составляет 407 781,6 тыс. рублей. Экономия сложиласть в связи с тем, что часть граждан получала выплату не полностью в течение всего отчетного периода, а с месяца обращения за назначением выплаты;</t>
  </si>
  <si>
    <t>Отклонение объема профинансированных  средств от объема финансирования, предусмотренного уточненной СБР составляет 40 787,0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</si>
  <si>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72 517,3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</si>
  <si>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3 147,4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</si>
  <si>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4 043,5 тыс. рублей.  Экономия  сложилась с учетом периода получения выплаты гражданином  менее 12 месяцев</t>
  </si>
  <si>
    <t>Отклонение объема профинансированных  средств от объема финансирования, предусмотренного уточненной СБР составляет 7 523,9 тыс. рублей. Остаток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</si>
  <si>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СБР составляет 695,9  тыс. рублей. Остаток сложилась по факту выполнения мероприятия (фактическая перевозка)</t>
  </si>
  <si>
    <t>Остаток в сумме 8 152,7 тыс. рублей сложился в связи с тем, что реализация мероприятия в 2020 году не состоялась в связи с введением на территроии Краснодарского края ограничительных мероприятий по предотвращению распространения коронавирусной инфекци</t>
  </si>
  <si>
    <t>Отклонение объема профинансированных  средств от объема финансирования, предусмотренного уточненной СБР составляет 20 496,4тыс. рублей. Остаток сложился в связи заявительным порядоком обращения.</t>
  </si>
  <si>
    <t>Отклонение объема профинансированных  средств от объема финансирования, предусмотренного уточненной СБР составляет 28 874,4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</si>
  <si>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СБР составляет 182,5  тыс. рублей. Остаток сложился по факту выполнения мероприятия.</t>
  </si>
  <si>
    <t>Отклонение объема профинансированных  средств от объема финансирования, предусмотренного уточненной СБР составляет 41,5 тыс. рублей. Остаток в сумме 41,5 тыс. рублей. Экономия сложилась в результате выполнения мероприятия.</t>
  </si>
  <si>
    <t xml:space="preserve">Отклонение объема профинансированных  средств от объема финансирования, предусмотренного уточненной СБР составляет 380,5 nыс. рублей. Остаток сложился в связи с отсутствием заявлений граждан на получение мер социальной поддержки. </t>
  </si>
  <si>
    <t>Отклонение объема профинансированных  средств от объема финансирования, предусмотренного уточненной СБР составляет 29 697,8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</si>
  <si>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СБР составляет 5 913,2 тыс. рублей. Экономия сложился в связи с тем, что размер выплат зависит от количества назначенных единовременных пособий  женам военнослужащих, а также часть обратившихся граждан получала выплату не полностью в течение всего отчетного периода, а только с месяца обращения за назначением выплаты на период прохождения военной службы.</t>
  </si>
  <si>
    <t>Отклонение объема профинансированных  средств от объема финансирования, предусмотренного уточненной СБР составляет 187 155,1 тыс. рублей. Экономия сложилась в связи с тем, что размер выплаты зависит от количества детей в семье.</t>
  </si>
  <si>
    <t xml:space="preserve">Отклонение объема профинансированных  средств от объема финансирования, предусмотренного уточненной СБР составляет 388,4 тыс. рублей. Экономия сложилась в связи с различным размером предоставления выплаты и ее индексацией.. </t>
  </si>
  <si>
    <t>Отклонение объема профинансированных  средств от объема финансирования, предусмотренного уточненной СБРсоставляет 1 922,5 тыс. рублей. Экономия сложилась в связи с тем, что в рамках реализации мероприятия выплата предоставляется отдельным категориям граждан, для каждой категории, установленной в соответствии с законодательством. За предоставлением выплаты меньшего размера обратилось большее количество получателей. Заявительный характер выплаты.</t>
  </si>
  <si>
    <t>367 фз п. 20</t>
  </si>
  <si>
    <t xml:space="preserve">Отклонение объема профинансированных  средств от объема финансирования, предусмотренного уточненной СБР составляет 8 226,9 тыс. рублей Экономия сложилась в связи различным размером сумм регионального материнского капитала. </t>
  </si>
  <si>
    <t xml:space="preserve">Отклонение объема профинансированных  средств от объема финансирования, предусмотренного уточненной СБР составляет 30 590,5 тыс. рублей. Экономия сложилась по результатам конкурсных процедур. Отсутствовала возможность перераспределения денежных средств в соответствии с распоряжением 83-р от 06.04.2020 г. </t>
  </si>
  <si>
    <t xml:space="preserve">Отклонение объема профинансированных  средств от объема финансирования, предусмотренного уточненной СБР составляет 30 061,9 тыс. рублей. Экономия сложилась по результатам конкурсных процедур. Отсутствовала возможность перераспределения денежных средств в соответствии с распоряжением 83-р от 06.04.2020 г. </t>
  </si>
  <si>
    <t xml:space="preserve">Отклонение объема профинансированных  средств от объема финансирования, предусмотренного уточненной СБР Экономия составляет 4 455,4 тыс. рублей. Экономия сложилась по результатам конкурсных процедур. Отсутствовала возможность перераспределения денежных средств в соответствии с распоряжением 83-р от 06.04.2020 г. </t>
  </si>
  <si>
    <t>Выделены 212 должностей, однако 4 должности сегодня остаются вакантными. Ведется поиск кандидатур</t>
  </si>
  <si>
    <t xml:space="preserve">Отклонение объема профинансированных  средств от объема финансирования, предусмотренного уточненной СБР составляет 3 174,4 тыс. рублей.  Экономия сложилась по результатам конкурсных процедур. Отсутствовала возможность перераспределения денежных средств в соответствии с распоряжением 83-р от 06.04.2020 г. </t>
  </si>
  <si>
    <t xml:space="preserve">Отклонение объема профинансированных  средств от объема финансирования, предусмотренного уточненной СБР составляет 6 301,3 тыс. рублей. Экономия сложилась по результатам конкурсных процедур. Отсутствовала возможность перераспределения денежных средств в соответствии с распоряжением 83-р от 06.04.2020 г. </t>
  </si>
  <si>
    <t>Отклонение объема профинансированных  средств от объема финансирования, предусмотренного уточненной СБР составляет 134,2 тыс. рублей  Остаток сложился в связи с расторжением договоров из-за смерти опекаемых.</t>
  </si>
  <si>
    <t>Отклонение объема профинансированных  средств от объема финансирования, предусмотренного уточненной СБР составляет 10 111,2  тыс. рублей, из них 8 426,0 тыс. рублей в связи с заявительным порядком предоставления выплаты, 1 685,2 тыс. рублей в связи с нереализацией 1 гражданином единовременной денежной выплаты.</t>
  </si>
  <si>
    <t>Отклонение объема профинансированных  средств от объема финансирования, предусмотренного уточненной СБР составляет 13 033,4  тыс. рублей. Остаток средств сложился в связи с отсутствием заключенных соглашений на оказание данной меры социальной поддержки (отсутствие претендентов)</t>
  </si>
  <si>
    <t>Выделены 525 должностей, однако 41 должности сегодня остаются вакантными. Ведется поиск кандидатур</t>
  </si>
  <si>
    <t>Отклонение объема профинансированных  средств от объема финансирования, предусмотренного уточненной СБР составляет 12 665,3, тыс. рублей. Остаток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</si>
  <si>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СБР составляет 62 676,4 тыс. рублейЭкономия в сумме 62 676,4 тыс. рублей сложилась в результате заявительного характера выплаты. Выплата назначается ветеранам труда, ветера-нам военной службы, имеющим удостоверение установленного образца, жертвам политических репрессий - справку о реабилитации либо о призна-нии пострадавшим от политических репрессий: с 1 января 2019 г. по дости-жении возраста 60 и 55 лет (мужчины и женщины соответственно), независи-мо от факта назначения пенсии по линии органов Пенсионного фонда Рос-сийской Федерации (при наличии права на ежемесячную денежную выплату по нескольким основаниям предоставляется одна ежемесячная денежная вы-плата по выбору (например, ветеранам труда при установлении инвалидно-сти предоставление ежемесячной денежной выплаты как ветерану труда пре-кращается);</t>
  </si>
  <si>
    <t>Начальник отдела координации национальных проектов и государственных программ</t>
  </si>
  <si>
    <t>2.3.7</t>
  </si>
  <si>
    <t>2.3.6</t>
  </si>
  <si>
    <t>2.3.5</t>
  </si>
  <si>
    <t>2.3.4</t>
  </si>
  <si>
    <t>2.3.3</t>
  </si>
  <si>
    <t>2.3.2</t>
  </si>
  <si>
    <t>О.Г. Лычагина</t>
  </si>
  <si>
    <t>расчитывается Росстатом ежегодно, 1-я оценка (предварительная) -29 апреля; 2-я оценка (уточненная) - 15 августа;
3-я оценка - 29 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</si>
</sst>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
    <numFmt numFmtId="165" formatCode="0.0"/>
    <numFmt numFmtId="166" formatCode="0.000"/>
    <numFmt numFmtId="167" formatCode="#,##0.000"/>
  </numFmts>
  <fonts count="50" x14ac:knownFonts="1">
    <font>
      <sz val="11"/>
      <color theme="1"/>
      <name val="Calibri"/>
      <family val="2"/>
      <scheme val="minor"/>
    </font>
    <font>
      <sz val="48"/>
      <name val="Times New Roman"/>
      <family val="1"/>
      <charset val="204"/>
    </font>
    <font>
      <sz val="22"/>
      <name val="Calibri"/>
      <family val="2"/>
      <charset val="204"/>
      <scheme val="minor"/>
    </font>
    <font>
      <sz val="30"/>
      <name val="Calibri"/>
      <family val="2"/>
      <charset val="204"/>
      <scheme val="minor"/>
    </font>
    <font>
      <u/>
      <sz val="48"/>
      <name val="Times New Roman"/>
      <family val="1"/>
      <charset val="204"/>
    </font>
    <font>
      <sz val="28"/>
      <name val="Times New Roman"/>
      <family val="1"/>
      <charset val="204"/>
    </font>
    <font>
      <b/>
      <sz val="28"/>
      <name val="Times New Roman"/>
      <family val="1"/>
      <charset val="204"/>
    </font>
    <font>
      <sz val="28"/>
      <name val="Calibri"/>
      <family val="2"/>
      <charset val="204"/>
      <scheme val="minor"/>
    </font>
    <font>
      <i/>
      <sz val="28"/>
      <name val="Times New Roman"/>
      <family val="1"/>
      <charset val="204"/>
    </font>
    <font>
      <i/>
      <vertAlign val="superscript"/>
      <sz val="28"/>
      <name val="Times New Roman"/>
      <family val="1"/>
      <charset val="204"/>
    </font>
    <font>
      <b/>
      <sz val="36"/>
      <name val="Times New Roman"/>
      <family val="1"/>
      <charset val="204"/>
    </font>
    <font>
      <sz val="36"/>
      <name val="Times New Roman"/>
      <family val="1"/>
      <charset val="204"/>
    </font>
    <font>
      <b/>
      <sz val="30"/>
      <name val="Calibri"/>
      <family val="2"/>
      <charset val="204"/>
      <scheme val="minor"/>
    </font>
    <font>
      <sz val="22"/>
      <name val="Times New Roman"/>
      <family val="1"/>
      <charset val="204"/>
    </font>
    <font>
      <sz val="24"/>
      <name val="Times New Roman"/>
      <family val="1"/>
      <charset val="204"/>
    </font>
    <font>
      <sz val="20"/>
      <name val="Times New Roman"/>
      <family val="1"/>
      <charset val="204"/>
    </font>
    <font>
      <sz val="14"/>
      <color indexed="8"/>
      <name val="Times New Roman"/>
      <family val="1"/>
      <charset val="204"/>
    </font>
    <font>
      <sz val="12"/>
      <color indexed="8"/>
      <name val="Times New Roman"/>
      <family val="1"/>
      <charset val="204"/>
    </font>
    <font>
      <sz val="10"/>
      <color rgb="FF000000"/>
      <name val="Times New Roman"/>
      <family val="1"/>
      <charset val="204"/>
    </font>
    <font>
      <sz val="10"/>
      <color theme="1"/>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sz val="16"/>
      <color indexed="8"/>
      <name val="Times New Roman"/>
      <family val="1"/>
      <charset val="204"/>
    </font>
    <font>
      <sz val="10"/>
      <name val="Arial Cyr"/>
      <charset val="204"/>
    </font>
    <font>
      <sz val="12"/>
      <name val="Arial Cyr"/>
      <charset val="204"/>
    </font>
    <font>
      <sz val="12"/>
      <name val="Times New Roman"/>
      <family val="1"/>
      <charset val="204"/>
    </font>
    <font>
      <sz val="14"/>
      <name val="Times New Roman"/>
      <family val="1"/>
      <charset val="204"/>
    </font>
    <font>
      <sz val="14"/>
      <color theme="0"/>
      <name val="Times New Roman"/>
      <family val="1"/>
      <charset val="204"/>
    </font>
    <font>
      <u/>
      <sz val="10"/>
      <color indexed="12"/>
      <name val="Arial Cyr"/>
      <charset val="204"/>
    </font>
    <font>
      <sz val="16"/>
      <name val="Times New Roman"/>
      <family val="1"/>
      <charset val="204"/>
    </font>
    <font>
      <b/>
      <sz val="14"/>
      <name val="Times New Roman"/>
      <family val="1"/>
      <charset val="204"/>
    </font>
    <font>
      <b/>
      <sz val="16"/>
      <name val="Times New Roman"/>
      <family val="1"/>
      <charset val="204"/>
    </font>
    <font>
      <b/>
      <sz val="12"/>
      <name val="Arial Cyr"/>
      <charset val="204"/>
    </font>
    <font>
      <sz val="10"/>
      <name val="Arial"/>
      <family val="2"/>
      <charset val="204"/>
    </font>
    <font>
      <sz val="18"/>
      <name val="Times New Roman"/>
      <family val="1"/>
      <charset val="204"/>
    </font>
    <font>
      <sz val="14"/>
      <color theme="1"/>
      <name val="Calibri"/>
      <family val="2"/>
      <charset val="204"/>
      <scheme val="minor"/>
    </font>
    <font>
      <sz val="32"/>
      <color theme="1"/>
      <name val="Calibri"/>
      <family val="2"/>
      <scheme val="minor"/>
    </font>
    <font>
      <sz val="32"/>
      <name val="Calibri"/>
      <family val="2"/>
      <scheme val="minor"/>
    </font>
    <font>
      <sz val="36"/>
      <color theme="1"/>
      <name val="Times New Roman"/>
      <family val="1"/>
      <charset val="204"/>
    </font>
    <font>
      <sz val="11"/>
      <color theme="1"/>
      <name val="Calibri"/>
      <family val="2"/>
      <scheme val="minor"/>
    </font>
    <font>
      <sz val="14"/>
      <name val="Arial Cyr"/>
      <charset val="204"/>
    </font>
    <font>
      <sz val="14"/>
      <color theme="1"/>
      <name val="Calibri"/>
      <family val="2"/>
      <scheme val="minor"/>
    </font>
    <font>
      <sz val="48"/>
      <color theme="1"/>
      <name val="Times New Roman"/>
      <family val="1"/>
      <charset val="204"/>
    </font>
    <font>
      <sz val="28"/>
      <color rgb="FFFF0000"/>
      <name val="Times New Roman"/>
      <family val="1"/>
      <charset val="204"/>
    </font>
    <font>
      <sz val="36"/>
      <color theme="1"/>
      <name val="Calibri"/>
      <family val="2"/>
      <scheme val="minor"/>
    </font>
    <font>
      <sz val="16"/>
      <name val="Calibri"/>
      <family val="2"/>
      <charset val="204"/>
      <scheme val="minor"/>
    </font>
    <font>
      <sz val="44"/>
      <color theme="1"/>
      <name val="Times New Roman"/>
      <family val="1"/>
      <charset val="204"/>
    </font>
    <font>
      <sz val="72"/>
      <name val="Times New Roman"/>
      <family val="1"/>
      <charset val="204"/>
    </font>
    <font>
      <sz val="2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4" fillId="0" borderId="0"/>
    <xf numFmtId="0" fontId="29" fillId="0" borderId="0" applyNumberFormat="0" applyFill="0" applyBorder="0" applyAlignment="0" applyProtection="0">
      <alignment vertical="top"/>
      <protection locked="0"/>
    </xf>
    <xf numFmtId="0" fontId="34" fillId="0" borderId="0"/>
    <xf numFmtId="44" fontId="40" fillId="0" borderId="0" applyFont="0" applyFill="0" applyBorder="0" applyAlignment="0" applyProtection="0"/>
  </cellStyleXfs>
  <cellXfs count="325">
    <xf numFmtId="0" fontId="0" fillId="0" borderId="0" xfId="0"/>
    <xf numFmtId="0" fontId="2" fillId="2" borderId="0" xfId="0" applyFont="1" applyFill="1" applyBorder="1"/>
    <xf numFmtId="0" fontId="3" fillId="2" borderId="0" xfId="0" applyFont="1" applyFill="1" applyBorder="1"/>
    <xf numFmtId="0" fontId="5" fillId="2" borderId="0" xfId="0" applyFont="1" applyFill="1" applyBorder="1" applyAlignment="1">
      <alignment horizontal="center" vertical="top"/>
    </xf>
    <xf numFmtId="0" fontId="6"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center" vertical="top"/>
    </xf>
    <xf numFmtId="165" fontId="5" fillId="2" borderId="1" xfId="0" applyNumberFormat="1" applyFont="1" applyFill="1" applyBorder="1" applyAlignment="1">
      <alignment horizontal="center" vertical="top" textRotation="90" wrapText="1"/>
    </xf>
    <xf numFmtId="49" fontId="5" fillId="2" borderId="1" xfId="0" applyNumberFormat="1" applyFont="1" applyFill="1" applyBorder="1" applyAlignment="1">
      <alignment horizontal="center" vertical="top"/>
    </xf>
    <xf numFmtId="49" fontId="3" fillId="2" borderId="0" xfId="0" applyNumberFormat="1" applyFont="1" applyFill="1" applyBorder="1"/>
    <xf numFmtId="0" fontId="6" fillId="2" borderId="1" xfId="0" applyFont="1" applyFill="1" applyBorder="1" applyAlignment="1">
      <alignment horizontal="center" vertical="top"/>
    </xf>
    <xf numFmtId="0" fontId="6" fillId="2" borderId="1" xfId="0" applyFont="1" applyFill="1" applyBorder="1" applyAlignment="1">
      <alignment horizontal="left" vertical="top" wrapText="1"/>
    </xf>
    <xf numFmtId="164" fontId="2" fillId="2" borderId="0" xfId="0" applyNumberFormat="1" applyFont="1" applyFill="1" applyBorder="1"/>
    <xf numFmtId="165" fontId="3" fillId="2" borderId="0" xfId="0" applyNumberFormat="1" applyFont="1" applyFill="1" applyBorder="1"/>
    <xf numFmtId="49" fontId="6" fillId="2" borderId="1" xfId="0" applyNumberFormat="1" applyFont="1" applyFill="1" applyBorder="1" applyAlignment="1">
      <alignment horizontal="center" vertical="top" wrapText="1"/>
    </xf>
    <xf numFmtId="2" fontId="6" fillId="2" borderId="1" xfId="0" applyNumberFormat="1" applyFont="1" applyFill="1" applyBorder="1" applyAlignment="1">
      <alignment horizontal="center" vertical="top"/>
    </xf>
    <xf numFmtId="2" fontId="6" fillId="2" borderId="1" xfId="0" applyNumberFormat="1" applyFont="1" applyFill="1" applyBorder="1" applyAlignment="1">
      <alignment horizontal="left" vertical="top"/>
    </xf>
    <xf numFmtId="0" fontId="12" fillId="2" borderId="0" xfId="0" applyFont="1" applyFill="1" applyBorder="1"/>
    <xf numFmtId="0" fontId="5" fillId="2" borderId="1" xfId="0" applyFont="1" applyFill="1" applyBorder="1" applyAlignment="1">
      <alignment vertical="top"/>
    </xf>
    <xf numFmtId="0" fontId="3" fillId="2" borderId="1" xfId="0" applyFont="1" applyFill="1" applyBorder="1"/>
    <xf numFmtId="0" fontId="3" fillId="2" borderId="0" xfId="0" applyFont="1" applyFill="1" applyBorder="1" applyAlignment="1">
      <alignment horizontal="center"/>
    </xf>
    <xf numFmtId="0" fontId="3" fillId="2" borderId="3" xfId="0" applyFont="1" applyFill="1" applyBorder="1"/>
    <xf numFmtId="0" fontId="3" fillId="2" borderId="4" xfId="0" applyFont="1" applyFill="1" applyBorder="1"/>
    <xf numFmtId="0" fontId="3" fillId="2" borderId="0" xfId="0" applyFont="1" applyFill="1" applyBorder="1" applyAlignment="1">
      <alignment vertical="top"/>
    </xf>
    <xf numFmtId="0" fontId="6" fillId="2" borderId="1" xfId="0" applyFont="1" applyFill="1" applyBorder="1" applyAlignment="1">
      <alignment horizontal="left" vertical="top"/>
    </xf>
    <xf numFmtId="0" fontId="3" fillId="2" borderId="0" xfId="0" applyFont="1" applyFill="1" applyBorder="1" applyAlignment="1">
      <alignment vertical="center"/>
    </xf>
    <xf numFmtId="0" fontId="3" fillId="2" borderId="0" xfId="0" applyFont="1" applyFill="1" applyBorder="1" applyAlignment="1">
      <alignment horizontal="center" vertical="top"/>
    </xf>
    <xf numFmtId="0" fontId="13" fillId="2" borderId="0" xfId="0" applyFont="1" applyFill="1" applyBorder="1" applyAlignment="1">
      <alignment horizontal="center" vertical="top"/>
    </xf>
    <xf numFmtId="0" fontId="15" fillId="2" borderId="0" xfId="0" applyFont="1" applyFill="1" applyBorder="1" applyAlignment="1">
      <alignment horizontal="left" vertical="top"/>
    </xf>
    <xf numFmtId="49" fontId="13" fillId="2" borderId="0" xfId="0" applyNumberFormat="1" applyFont="1" applyFill="1" applyBorder="1" applyAlignment="1">
      <alignment horizontal="center" vertical="top" wrapText="1"/>
    </xf>
    <xf numFmtId="49" fontId="13" fillId="2" borderId="0" xfId="0" applyNumberFormat="1" applyFont="1" applyFill="1" applyBorder="1" applyAlignment="1">
      <alignment horizontal="left" vertical="top" wrapText="1"/>
    </xf>
    <xf numFmtId="0" fontId="13" fillId="2" borderId="0" xfId="0" applyFont="1" applyFill="1" applyBorder="1" applyAlignment="1">
      <alignment horizontal="left" vertical="top"/>
    </xf>
    <xf numFmtId="0" fontId="2" fillId="2" borderId="0" xfId="0" applyFont="1" applyFill="1" applyBorder="1" applyAlignment="1">
      <alignment horizontal="center" vertical="top"/>
    </xf>
    <xf numFmtId="0" fontId="1" fillId="2" borderId="0" xfId="0" applyFont="1" applyFill="1" applyBorder="1" applyAlignment="1">
      <alignment horizontal="left" vertical="top"/>
    </xf>
    <xf numFmtId="0" fontId="17" fillId="2" borderId="0" xfId="0" applyFont="1" applyFill="1" applyAlignment="1">
      <alignment horizontal="center" vertical="top"/>
    </xf>
    <xf numFmtId="0" fontId="17" fillId="2" borderId="0" xfId="0" applyFont="1" applyFill="1" applyAlignment="1">
      <alignment horizontal="center"/>
    </xf>
    <xf numFmtId="164" fontId="17" fillId="2" borderId="0" xfId="0" applyNumberFormat="1" applyFont="1" applyFill="1" applyAlignment="1">
      <alignment horizontal="center"/>
    </xf>
    <xf numFmtId="0" fontId="19" fillId="2" borderId="1"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top"/>
    </xf>
    <xf numFmtId="0" fontId="20" fillId="2" borderId="1" xfId="0" applyFont="1" applyFill="1" applyBorder="1" applyAlignment="1">
      <alignment vertical="top" wrapText="1"/>
    </xf>
    <xf numFmtId="49" fontId="17" fillId="2" borderId="1" xfId="0" applyNumberFormat="1" applyFont="1" applyFill="1" applyBorder="1" applyAlignment="1">
      <alignment horizontal="center" vertical="top"/>
    </xf>
    <xf numFmtId="0" fontId="20" fillId="2" borderId="1" xfId="0" applyFont="1" applyFill="1" applyBorder="1" applyAlignment="1">
      <alignment horizontal="center" vertical="top" wrapText="1"/>
    </xf>
    <xf numFmtId="0" fontId="20" fillId="2" borderId="1" xfId="0" applyFont="1" applyFill="1" applyBorder="1" applyAlignment="1">
      <alignment horizontal="center" vertical="center" wrapText="1"/>
    </xf>
    <xf numFmtId="49" fontId="17" fillId="2" borderId="1" xfId="0" applyNumberFormat="1" applyFont="1" applyFill="1" applyBorder="1" applyAlignment="1">
      <alignment horizontal="center" vertical="top" wrapText="1"/>
    </xf>
    <xf numFmtId="0" fontId="23" fillId="2" borderId="0" xfId="0" applyFont="1" applyFill="1" applyBorder="1" applyAlignment="1">
      <alignment horizontal="center" vertical="top" wrapText="1"/>
    </xf>
    <xf numFmtId="49" fontId="25" fillId="2" borderId="0" xfId="1" applyNumberFormat="1" applyFont="1" applyFill="1" applyAlignment="1">
      <alignment horizontal="center"/>
    </xf>
    <xf numFmtId="164" fontId="26" fillId="2" borderId="0" xfId="1" applyNumberFormat="1" applyFont="1" applyFill="1" applyBorder="1" applyAlignment="1">
      <alignment horizontal="center"/>
    </xf>
    <xf numFmtId="0" fontId="25" fillId="2" borderId="0" xfId="1" applyFont="1" applyFill="1" applyBorder="1"/>
    <xf numFmtId="0" fontId="25" fillId="2" borderId="0" xfId="1" applyFont="1" applyFill="1"/>
    <xf numFmtId="49" fontId="27" fillId="2" borderId="0" xfId="1" applyNumberFormat="1" applyFont="1" applyFill="1" applyBorder="1" applyAlignment="1"/>
    <xf numFmtId="49" fontId="27" fillId="2" borderId="0" xfId="1" applyNumberFormat="1" applyFont="1" applyFill="1" applyBorder="1" applyAlignment="1">
      <alignment horizontal="left"/>
    </xf>
    <xf numFmtId="49" fontId="27" fillId="2" borderId="0" xfId="1" applyNumberFormat="1" applyFont="1" applyFill="1" applyBorder="1" applyAlignment="1">
      <alignment wrapText="1"/>
    </xf>
    <xf numFmtId="49" fontId="27" fillId="2" borderId="0" xfId="1" applyNumberFormat="1" applyFont="1" applyFill="1" applyBorder="1" applyAlignment="1">
      <alignment horizontal="left" wrapText="1"/>
    </xf>
    <xf numFmtId="49" fontId="26" fillId="2" borderId="0" xfId="1" applyNumberFormat="1" applyFont="1" applyFill="1" applyBorder="1" applyAlignment="1">
      <alignment horizontal="center"/>
    </xf>
    <xf numFmtId="49" fontId="26" fillId="2" borderId="0" xfId="1" applyNumberFormat="1" applyFont="1" applyFill="1" applyBorder="1" applyAlignment="1">
      <alignment horizontal="left"/>
    </xf>
    <xf numFmtId="164" fontId="27" fillId="2" borderId="0" xfId="1" applyNumberFormat="1" applyFont="1" applyFill="1" applyBorder="1" applyAlignment="1">
      <alignment horizontal="center" vertical="center"/>
    </xf>
    <xf numFmtId="0" fontId="25" fillId="2" borderId="0" xfId="1" applyFont="1" applyFill="1" applyBorder="1" applyAlignment="1">
      <alignment horizontal="center"/>
    </xf>
    <xf numFmtId="49" fontId="27" fillId="2" borderId="1" xfId="1" applyNumberFormat="1" applyFont="1" applyFill="1" applyBorder="1" applyAlignment="1">
      <alignment horizontal="center" vertical="center" wrapText="1"/>
    </xf>
    <xf numFmtId="0" fontId="27" fillId="2" borderId="1" xfId="1" applyFont="1" applyFill="1" applyBorder="1" applyAlignment="1">
      <alignment horizontal="center" vertical="center" wrapText="1"/>
    </xf>
    <xf numFmtId="3" fontId="27" fillId="2" borderId="1" xfId="1" applyNumberFormat="1" applyFont="1" applyFill="1" applyBorder="1" applyAlignment="1">
      <alignment horizontal="center" vertical="center" wrapText="1"/>
    </xf>
    <xf numFmtId="0" fontId="27" fillId="2" borderId="0" xfId="1" applyFont="1" applyFill="1" applyBorder="1"/>
    <xf numFmtId="49" fontId="31" fillId="2" borderId="1" xfId="1" applyNumberFormat="1" applyFont="1" applyFill="1" applyBorder="1" applyAlignment="1">
      <alignment horizontal="center" vertical="top" wrapText="1"/>
    </xf>
    <xf numFmtId="0" fontId="33" fillId="2" borderId="0" xfId="1" applyFont="1" applyFill="1" applyBorder="1"/>
    <xf numFmtId="0" fontId="30" fillId="2" borderId="1" xfId="1" applyFont="1" applyFill="1" applyBorder="1" applyAlignment="1">
      <alignment vertical="top" wrapText="1"/>
    </xf>
    <xf numFmtId="0" fontId="25" fillId="2" borderId="0" xfId="1" applyFont="1" applyFill="1" applyBorder="1" applyAlignment="1">
      <alignment horizontal="left"/>
    </xf>
    <xf numFmtId="0" fontId="31" fillId="2" borderId="1" xfId="1" applyFont="1" applyFill="1" applyBorder="1" applyAlignment="1">
      <alignment horizontal="center" vertical="top" wrapText="1"/>
    </xf>
    <xf numFmtId="0" fontId="27" fillId="2" borderId="0" xfId="1" applyFont="1" applyFill="1" applyBorder="1" applyAlignment="1">
      <alignment horizontal="left" vertical="top" wrapText="1"/>
    </xf>
    <xf numFmtId="49" fontId="26" fillId="2" borderId="1" xfId="1" applyNumberFormat="1" applyFont="1" applyFill="1" applyBorder="1" applyAlignment="1">
      <alignment horizontal="center" vertical="top" wrapText="1"/>
    </xf>
    <xf numFmtId="49" fontId="27" fillId="2" borderId="1" xfId="1" applyNumberFormat="1" applyFont="1" applyFill="1" applyBorder="1" applyAlignment="1">
      <alignment horizontal="center"/>
    </xf>
    <xf numFmtId="49" fontId="35" fillId="2" borderId="0" xfId="1" applyNumberFormat="1" applyFont="1" applyFill="1" applyBorder="1" applyAlignment="1">
      <alignment horizontal="left"/>
    </xf>
    <xf numFmtId="164" fontId="35" fillId="2" borderId="0" xfId="1" applyNumberFormat="1" applyFont="1" applyFill="1" applyBorder="1" applyAlignment="1">
      <alignment horizontal="center"/>
    </xf>
    <xf numFmtId="164" fontId="27" fillId="2" borderId="0" xfId="1" applyNumberFormat="1" applyFont="1" applyFill="1" applyBorder="1" applyAlignment="1">
      <alignment horizontal="center"/>
    </xf>
    <xf numFmtId="0" fontId="27" fillId="2" borderId="0" xfId="1" applyFont="1" applyFill="1" applyBorder="1" applyAlignment="1">
      <alignment horizontal="left"/>
    </xf>
    <xf numFmtId="0" fontId="5" fillId="2" borderId="1" xfId="0" applyFont="1" applyFill="1" applyBorder="1" applyAlignment="1">
      <alignment vertical="top" wrapText="1"/>
    </xf>
    <xf numFmtId="49" fontId="5" fillId="2" borderId="1" xfId="0" applyNumberFormat="1" applyFont="1" applyFill="1" applyBorder="1" applyAlignment="1">
      <alignment vertical="top" wrapText="1"/>
    </xf>
    <xf numFmtId="164" fontId="5" fillId="2" borderId="1" xfId="0" applyNumberFormat="1" applyFont="1" applyFill="1" applyBorder="1" applyAlignment="1">
      <alignment vertical="top" wrapText="1"/>
    </xf>
    <xf numFmtId="0" fontId="5" fillId="2" borderId="1" xfId="0" applyNumberFormat="1" applyFont="1" applyFill="1" applyBorder="1" applyAlignment="1">
      <alignment vertical="top" wrapText="1"/>
    </xf>
    <xf numFmtId="49" fontId="5" fillId="2" borderId="1" xfId="0" applyNumberFormat="1" applyFont="1" applyFill="1" applyBorder="1" applyAlignment="1">
      <alignment horizontal="left" vertical="top" wrapText="1"/>
    </xf>
    <xf numFmtId="0" fontId="0" fillId="2" borderId="0" xfId="0" applyFill="1"/>
    <xf numFmtId="0" fontId="0" fillId="2" borderId="0" xfId="0" applyFill="1" applyAlignment="1">
      <alignment horizontal="center"/>
    </xf>
    <xf numFmtId="0" fontId="0" fillId="2" borderId="0" xfId="0" applyFill="1" applyAlignment="1">
      <alignment horizontal="left"/>
    </xf>
    <xf numFmtId="165" fontId="6" fillId="2" borderId="1" xfId="0" applyNumberFormat="1" applyFont="1" applyFill="1" applyBorder="1" applyAlignment="1">
      <alignment horizontal="left" vertical="top"/>
    </xf>
    <xf numFmtId="165" fontId="5" fillId="2" borderId="1" xfId="0" applyNumberFormat="1" applyFont="1" applyFill="1" applyBorder="1" applyAlignment="1">
      <alignment horizontal="left" vertical="top"/>
    </xf>
    <xf numFmtId="164" fontId="5" fillId="2" borderId="0" xfId="0" applyNumberFormat="1" applyFont="1" applyFill="1" applyBorder="1" applyAlignment="1">
      <alignment horizontal="right" vertical="top"/>
    </xf>
    <xf numFmtId="164" fontId="5" fillId="2" borderId="1" xfId="0" applyNumberFormat="1" applyFont="1" applyFill="1" applyBorder="1" applyAlignment="1">
      <alignment horizontal="right" vertical="top" textRotation="90" wrapText="1"/>
    </xf>
    <xf numFmtId="164" fontId="10" fillId="2" borderId="1" xfId="0" applyNumberFormat="1" applyFont="1" applyFill="1" applyBorder="1" applyAlignment="1">
      <alignment horizontal="right" vertical="top"/>
    </xf>
    <xf numFmtId="49" fontId="13" fillId="2" borderId="0" xfId="0" applyNumberFormat="1" applyFont="1" applyFill="1" applyBorder="1" applyAlignment="1">
      <alignment horizontal="right" vertical="top" wrapText="1"/>
    </xf>
    <xf numFmtId="0" fontId="0" fillId="2" borderId="0" xfId="0" applyFill="1" applyAlignment="1">
      <alignment horizontal="right"/>
    </xf>
    <xf numFmtId="164" fontId="13" fillId="2" borderId="0" xfId="0" applyNumberFormat="1" applyFont="1" applyFill="1" applyBorder="1" applyAlignment="1">
      <alignment horizontal="right" vertical="top"/>
    </xf>
    <xf numFmtId="164" fontId="5" fillId="2" borderId="1" xfId="0" applyNumberFormat="1" applyFont="1" applyFill="1" applyBorder="1" applyAlignment="1">
      <alignment horizontal="left" vertical="top"/>
    </xf>
    <xf numFmtId="164" fontId="32" fillId="2" borderId="1" xfId="1" applyNumberFormat="1" applyFont="1" applyFill="1" applyBorder="1" applyAlignment="1">
      <alignment horizontal="center" vertical="top" wrapText="1"/>
    </xf>
    <xf numFmtId="164" fontId="8" fillId="2" borderId="1" xfId="0" applyNumberFormat="1" applyFont="1" applyFill="1" applyBorder="1" applyAlignment="1">
      <alignment horizontal="right" vertical="top" textRotation="90" wrapText="1"/>
    </xf>
    <xf numFmtId="0" fontId="11" fillId="2" borderId="0" xfId="0" applyFont="1" applyFill="1" applyBorder="1" applyAlignment="1">
      <alignment horizontal="right" vertical="top"/>
    </xf>
    <xf numFmtId="0" fontId="37" fillId="2" borderId="0" xfId="0" applyFont="1" applyFill="1"/>
    <xf numFmtId="165" fontId="38" fillId="2" borderId="0" xfId="0" applyNumberFormat="1" applyFont="1" applyFill="1" applyBorder="1"/>
    <xf numFmtId="164" fontId="37" fillId="2" borderId="0" xfId="0" applyNumberFormat="1" applyFont="1" applyFill="1"/>
    <xf numFmtId="0" fontId="0" fillId="2" borderId="1" xfId="0" applyFill="1" applyBorder="1"/>
    <xf numFmtId="0" fontId="3" fillId="2" borderId="2" xfId="0" applyFont="1" applyFill="1" applyBorder="1"/>
    <xf numFmtId="0" fontId="2" fillId="2" borderId="1" xfId="0" applyFont="1" applyFill="1" applyBorder="1"/>
    <xf numFmtId="0" fontId="3" fillId="2" borderId="1" xfId="0" applyFont="1" applyFill="1" applyBorder="1" applyAlignment="1">
      <alignment horizontal="right"/>
    </xf>
    <xf numFmtId="49" fontId="2" fillId="2" borderId="1" xfId="0" applyNumberFormat="1" applyFont="1" applyFill="1" applyBorder="1"/>
    <xf numFmtId="49" fontId="3" fillId="2" borderId="1" xfId="0" applyNumberFormat="1" applyFont="1" applyFill="1" applyBorder="1"/>
    <xf numFmtId="164" fontId="2" fillId="2" borderId="1" xfId="0" applyNumberFormat="1" applyFont="1" applyFill="1" applyBorder="1"/>
    <xf numFmtId="165" fontId="3" fillId="2" borderId="1" xfId="0" applyNumberFormat="1" applyFont="1" applyFill="1" applyBorder="1"/>
    <xf numFmtId="0" fontId="3" fillId="2" borderId="1" xfId="0" applyFont="1" applyFill="1" applyBorder="1" applyAlignment="1">
      <alignment horizontal="center"/>
    </xf>
    <xf numFmtId="0" fontId="3" fillId="2" borderId="1" xfId="0" applyFont="1" applyFill="1" applyBorder="1" applyAlignment="1">
      <alignment vertical="top"/>
    </xf>
    <xf numFmtId="0" fontId="3" fillId="2" borderId="1" xfId="0" applyFont="1" applyFill="1" applyBorder="1" applyAlignment="1">
      <alignment vertical="center"/>
    </xf>
    <xf numFmtId="0" fontId="3" fillId="2" borderId="1" xfId="0" applyFont="1" applyFill="1" applyBorder="1" applyAlignment="1">
      <alignment horizontal="center" vertical="top"/>
    </xf>
    <xf numFmtId="49" fontId="27" fillId="2" borderId="1" xfId="1" applyNumberFormat="1" applyFont="1" applyFill="1" applyBorder="1" applyAlignment="1">
      <alignment horizontal="left" vertical="top" wrapText="1"/>
    </xf>
    <xf numFmtId="164" fontId="11" fillId="2" borderId="1" xfId="0" applyNumberFormat="1" applyFont="1" applyFill="1" applyBorder="1" applyAlignment="1">
      <alignment horizontal="right" vertical="top"/>
    </xf>
    <xf numFmtId="164" fontId="6" fillId="2" borderId="1" xfId="0" applyNumberFormat="1" applyFont="1" applyFill="1" applyBorder="1" applyAlignment="1">
      <alignment horizontal="left" vertical="top" wrapText="1"/>
    </xf>
    <xf numFmtId="164" fontId="11" fillId="2" borderId="1" xfId="0" applyNumberFormat="1" applyFont="1" applyFill="1" applyBorder="1" applyAlignment="1">
      <alignment vertical="top"/>
    </xf>
    <xf numFmtId="164" fontId="11" fillId="2" borderId="1" xfId="0" applyNumberFormat="1" applyFont="1" applyFill="1" applyBorder="1" applyAlignment="1">
      <alignment horizontal="right" vertical="top"/>
    </xf>
    <xf numFmtId="4" fontId="5" fillId="2" borderId="1" xfId="0" applyNumberFormat="1" applyFont="1" applyFill="1" applyBorder="1" applyAlignment="1">
      <alignment horizontal="left" vertical="top" wrapText="1"/>
    </xf>
    <xf numFmtId="49" fontId="26" fillId="2" borderId="0" xfId="1" applyNumberFormat="1" applyFont="1" applyFill="1" applyBorder="1" applyAlignment="1"/>
    <xf numFmtId="0" fontId="27" fillId="2" borderId="1" xfId="1" applyFont="1" applyFill="1" applyBorder="1" applyAlignment="1">
      <alignment vertical="center" wrapText="1"/>
    </xf>
    <xf numFmtId="0" fontId="27" fillId="2" borderId="0" xfId="1" applyFont="1" applyFill="1" applyBorder="1" applyAlignment="1"/>
    <xf numFmtId="0" fontId="0" fillId="2" borderId="0" xfId="0" applyFill="1" applyAlignment="1"/>
    <xf numFmtId="49" fontId="27" fillId="2" borderId="1" xfId="1" applyNumberFormat="1" applyFont="1" applyFill="1" applyBorder="1" applyAlignment="1">
      <alignment horizontal="center" vertical="top"/>
    </xf>
    <xf numFmtId="0" fontId="0" fillId="2" borderId="0" xfId="0" applyFill="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4" fillId="2" borderId="0" xfId="0" applyFont="1" applyFill="1" applyBorder="1" applyAlignment="1">
      <alignment horizontal="center" vertical="center"/>
    </xf>
    <xf numFmtId="44" fontId="0" fillId="2" borderId="0" xfId="4" applyFont="1" applyFill="1"/>
    <xf numFmtId="49" fontId="27" fillId="2" borderId="0" xfId="1" applyNumberFormat="1" applyFont="1" applyFill="1" applyBorder="1" applyAlignment="1">
      <alignment horizontal="center"/>
    </xf>
    <xf numFmtId="164" fontId="20" fillId="2" borderId="1" xfId="0" applyNumberFormat="1" applyFont="1" applyFill="1" applyBorder="1" applyAlignment="1">
      <alignment horizontal="center" vertical="top" wrapText="1"/>
    </xf>
    <xf numFmtId="0" fontId="0" fillId="2" borderId="0" xfId="0" applyFill="1" applyBorder="1"/>
    <xf numFmtId="0" fontId="3" fillId="3" borderId="0" xfId="0" applyFont="1" applyFill="1" applyBorder="1"/>
    <xf numFmtId="0" fontId="0" fillId="3" borderId="0" xfId="0" applyFill="1"/>
    <xf numFmtId="164" fontId="11" fillId="3" borderId="1" xfId="0" applyNumberFormat="1" applyFont="1" applyFill="1" applyBorder="1" applyAlignment="1">
      <alignment vertical="top"/>
    </xf>
    <xf numFmtId="0" fontId="37" fillId="3" borderId="0" xfId="0" applyFont="1" applyFill="1"/>
    <xf numFmtId="0" fontId="27" fillId="2" borderId="1" xfId="0" applyNumberFormat="1" applyFont="1" applyFill="1" applyBorder="1" applyAlignment="1">
      <alignment vertical="top" wrapText="1"/>
    </xf>
    <xf numFmtId="49" fontId="27" fillId="2" borderId="1" xfId="0" applyNumberFormat="1" applyFont="1" applyFill="1" applyBorder="1" applyAlignment="1">
      <alignment horizontal="left" vertical="top" wrapText="1"/>
    </xf>
    <xf numFmtId="0" fontId="27" fillId="2" borderId="1" xfId="0" applyFont="1" applyFill="1" applyBorder="1" applyAlignment="1">
      <alignment horizontal="left" vertical="top" wrapText="1"/>
    </xf>
    <xf numFmtId="0" fontId="27" fillId="2" borderId="1" xfId="0" applyNumberFormat="1" applyFont="1" applyFill="1" applyBorder="1" applyAlignment="1">
      <alignment horizontal="left" vertical="top" wrapText="1"/>
    </xf>
    <xf numFmtId="0" fontId="41" fillId="2" borderId="0" xfId="1" applyFont="1" applyFill="1" applyBorder="1" applyAlignment="1">
      <alignment horizontal="left" vertical="top" wrapText="1"/>
    </xf>
    <xf numFmtId="0" fontId="42" fillId="2" borderId="0" xfId="0" applyFont="1" applyFill="1"/>
    <xf numFmtId="0" fontId="27" fillId="2" borderId="1" xfId="0" applyFont="1" applyFill="1" applyBorder="1" applyAlignment="1">
      <alignment vertical="top" wrapText="1"/>
    </xf>
    <xf numFmtId="164" fontId="27" fillId="2" borderId="1" xfId="0" applyNumberFormat="1" applyFont="1" applyFill="1" applyBorder="1" applyAlignment="1">
      <alignment horizontal="left" vertical="top" wrapText="1"/>
    </xf>
    <xf numFmtId="4" fontId="27" fillId="2" borderId="1" xfId="0" applyNumberFormat="1" applyFont="1" applyFill="1" applyBorder="1" applyAlignment="1">
      <alignment horizontal="left" vertical="top" wrapText="1"/>
    </xf>
    <xf numFmtId="3" fontId="20" fillId="2" borderId="1" xfId="0" applyNumberFormat="1" applyFont="1" applyFill="1" applyBorder="1" applyAlignment="1">
      <alignment horizontal="center" vertical="top" wrapText="1"/>
    </xf>
    <xf numFmtId="164" fontId="11" fillId="2" borderId="1" xfId="0" applyNumberFormat="1" applyFont="1" applyFill="1" applyBorder="1" applyAlignment="1">
      <alignment horizontal="right" vertical="top"/>
    </xf>
    <xf numFmtId="164" fontId="11" fillId="2" borderId="5" xfId="0" applyNumberFormat="1" applyFont="1" applyFill="1" applyBorder="1" applyAlignment="1">
      <alignment horizontal="right" vertical="top"/>
    </xf>
    <xf numFmtId="0" fontId="21" fillId="2" borderId="1" xfId="0" applyFont="1" applyFill="1" applyBorder="1" applyAlignment="1">
      <alignment vertical="top" wrapText="1"/>
    </xf>
    <xf numFmtId="164" fontId="20" fillId="2" borderId="1" xfId="0" applyNumberFormat="1" applyFont="1" applyFill="1" applyBorder="1" applyAlignment="1">
      <alignment vertical="top" wrapText="1"/>
    </xf>
    <xf numFmtId="3" fontId="22" fillId="2" borderId="1" xfId="0" applyNumberFormat="1" applyFont="1" applyFill="1" applyBorder="1" applyAlignment="1">
      <alignment horizontal="center" vertical="top" wrapText="1"/>
    </xf>
    <xf numFmtId="165" fontId="20" fillId="2" borderId="1" xfId="0" applyNumberFormat="1" applyFont="1" applyFill="1" applyBorder="1" applyAlignment="1">
      <alignment horizontal="center" vertical="top" wrapText="1"/>
    </xf>
    <xf numFmtId="166" fontId="20" fillId="2" borderId="1" xfId="0" applyNumberFormat="1" applyFont="1" applyFill="1" applyBorder="1" applyAlignment="1">
      <alignment horizontal="center" vertical="top" wrapText="1"/>
    </xf>
    <xf numFmtId="0" fontId="22" fillId="2" borderId="1" xfId="0" applyFont="1" applyFill="1" applyBorder="1" applyAlignment="1">
      <alignment vertical="top" wrapText="1"/>
    </xf>
    <xf numFmtId="0" fontId="20" fillId="2" borderId="1" xfId="0" applyFont="1" applyFill="1" applyBorder="1" applyAlignment="1">
      <alignment horizontal="left" vertical="top" wrapText="1"/>
    </xf>
    <xf numFmtId="0" fontId="39" fillId="2" borderId="0" xfId="0" applyFont="1" applyFill="1" applyAlignment="1">
      <alignment horizontal="left" wrapText="1"/>
    </xf>
    <xf numFmtId="49" fontId="13" fillId="2" borderId="0" xfId="1" applyNumberFormat="1" applyFont="1" applyFill="1" applyBorder="1" applyAlignment="1">
      <alignment horizontal="right" wrapText="1"/>
    </xf>
    <xf numFmtId="0" fontId="43" fillId="2" borderId="0" xfId="0" applyFont="1" applyFill="1" applyAlignment="1">
      <alignment horizontal="left" wrapText="1"/>
    </xf>
    <xf numFmtId="0" fontId="45" fillId="2" borderId="0" xfId="0" applyFont="1" applyFill="1" applyAlignment="1">
      <alignment horizontal="right"/>
    </xf>
    <xf numFmtId="0" fontId="0" fillId="2" borderId="0" xfId="0" applyFill="1" applyAlignment="1">
      <alignment horizontal="center"/>
    </xf>
    <xf numFmtId="0" fontId="27" fillId="2" borderId="1" xfId="1" applyFont="1" applyFill="1" applyBorder="1" applyAlignment="1">
      <alignment horizontal="left" vertical="top" wrapText="1"/>
    </xf>
    <xf numFmtId="14" fontId="30" fillId="2" borderId="1" xfId="1" applyNumberFormat="1" applyFont="1" applyFill="1" applyBorder="1" applyAlignment="1">
      <alignment horizontal="center" vertical="top" wrapText="1"/>
    </xf>
    <xf numFmtId="0" fontId="30" fillId="2" borderId="1" xfId="1" applyFont="1" applyFill="1" applyBorder="1" applyAlignment="1">
      <alignment horizontal="center" vertical="top" wrapText="1"/>
    </xf>
    <xf numFmtId="164" fontId="30" fillId="2" borderId="1" xfId="1" applyNumberFormat="1" applyFont="1" applyFill="1" applyBorder="1" applyAlignment="1">
      <alignment horizontal="center" vertical="top" wrapText="1"/>
    </xf>
    <xf numFmtId="0" fontId="31" fillId="2" borderId="1" xfId="1" applyFont="1" applyFill="1" applyBorder="1" applyAlignment="1">
      <alignment horizontal="left" vertical="top" wrapText="1"/>
    </xf>
    <xf numFmtId="49" fontId="27" fillId="2" borderId="1" xfId="1" applyNumberFormat="1" applyFont="1" applyFill="1" applyBorder="1" applyAlignment="1">
      <alignment horizontal="center" vertical="top" wrapText="1"/>
    </xf>
    <xf numFmtId="164" fontId="27" fillId="2" borderId="1" xfId="1" applyNumberFormat="1" applyFont="1" applyFill="1" applyBorder="1" applyAlignment="1">
      <alignment horizontal="center" vertical="top" wrapText="1"/>
    </xf>
    <xf numFmtId="0" fontId="27" fillId="2" borderId="1" xfId="1" applyFont="1" applyFill="1" applyBorder="1" applyAlignment="1">
      <alignment vertical="top" wrapText="1"/>
    </xf>
    <xf numFmtId="0" fontId="27" fillId="2" borderId="1" xfId="1" applyFont="1" applyFill="1" applyBorder="1" applyAlignment="1">
      <alignment horizontal="center" vertical="top" wrapText="1"/>
    </xf>
    <xf numFmtId="49" fontId="27" fillId="2" borderId="0" xfId="1" applyNumberFormat="1" applyFont="1" applyFill="1" applyBorder="1" applyAlignment="1">
      <alignment horizontal="center" wrapText="1"/>
    </xf>
    <xf numFmtId="14" fontId="30" fillId="2" borderId="1" xfId="1" applyNumberFormat="1" applyFont="1" applyFill="1" applyBorder="1" applyAlignment="1">
      <alignment horizontal="center" vertical="top" wrapText="1"/>
    </xf>
    <xf numFmtId="14" fontId="30" fillId="2" borderId="6" xfId="1" applyNumberFormat="1" applyFont="1" applyFill="1" applyBorder="1" applyAlignment="1">
      <alignment horizontal="center" vertical="top" wrapText="1"/>
    </xf>
    <xf numFmtId="49" fontId="35" fillId="2" borderId="0" xfId="1" applyNumberFormat="1" applyFont="1" applyFill="1" applyBorder="1" applyAlignment="1">
      <alignment horizontal="center"/>
    </xf>
    <xf numFmtId="0" fontId="27" fillId="2" borderId="0" xfId="1" applyFont="1" applyFill="1" applyBorder="1" applyAlignment="1">
      <alignment horizontal="center"/>
    </xf>
    <xf numFmtId="14" fontId="30" fillId="2" borderId="1" xfId="1" applyNumberFormat="1" applyFont="1" applyFill="1" applyBorder="1" applyAlignment="1">
      <alignment vertical="top" wrapText="1"/>
    </xf>
    <xf numFmtId="4" fontId="20" fillId="2" borderId="1" xfId="0" applyNumberFormat="1" applyFont="1" applyFill="1" applyBorder="1" applyAlignment="1">
      <alignment horizontal="center" vertical="top" wrapText="1"/>
    </xf>
    <xf numFmtId="167" fontId="20" fillId="2" borderId="1" xfId="0" applyNumberFormat="1" applyFont="1" applyFill="1" applyBorder="1" applyAlignment="1">
      <alignment horizontal="center" vertical="top" wrapText="1"/>
    </xf>
    <xf numFmtId="2" fontId="20" fillId="2" borderId="1" xfId="0" applyNumberFormat="1" applyFont="1" applyFill="1" applyBorder="1" applyAlignment="1">
      <alignment horizontal="center" vertical="top" wrapText="1"/>
    </xf>
    <xf numFmtId="165" fontId="20" fillId="2" borderId="1" xfId="0" applyNumberFormat="1" applyFont="1" applyFill="1" applyBorder="1" applyAlignment="1">
      <alignment horizontal="left" vertical="top" wrapText="1" indent="2"/>
    </xf>
    <xf numFmtId="0" fontId="5" fillId="2" borderId="5" xfId="0" applyFont="1" applyFill="1" applyBorder="1" applyAlignment="1">
      <alignment horizontal="center"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164" fontId="5" fillId="2" borderId="1" xfId="0"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5" xfId="0" applyFont="1" applyFill="1" applyBorder="1" applyAlignment="1">
      <alignment horizontal="center" vertical="top"/>
    </xf>
    <xf numFmtId="0" fontId="5" fillId="2" borderId="1" xfId="0" applyFont="1" applyFill="1" applyBorder="1" applyAlignment="1">
      <alignment horizontal="left" vertical="top"/>
    </xf>
    <xf numFmtId="164" fontId="5" fillId="2" borderId="1" xfId="0" applyNumberFormat="1" applyFont="1" applyFill="1" applyBorder="1" applyAlignment="1">
      <alignment horizontal="center" vertical="top" wrapText="1"/>
    </xf>
    <xf numFmtId="164" fontId="5" fillId="2" borderId="5" xfId="0" applyNumberFormat="1" applyFont="1" applyFill="1" applyBorder="1" applyAlignment="1">
      <alignment horizontal="left" vertical="top" wrapText="1"/>
    </xf>
    <xf numFmtId="164" fontId="5" fillId="2" borderId="6" xfId="0" applyNumberFormat="1" applyFont="1" applyFill="1" applyBorder="1" applyAlignment="1">
      <alignment horizontal="left" vertical="top" wrapText="1"/>
    </xf>
    <xf numFmtId="3" fontId="5" fillId="2" borderId="5" xfId="0" applyNumberFormat="1" applyFont="1" applyFill="1" applyBorder="1" applyAlignment="1">
      <alignment horizontal="center" vertical="top"/>
    </xf>
    <xf numFmtId="164" fontId="11" fillId="2" borderId="5" xfId="0" applyNumberFormat="1" applyFont="1" applyFill="1" applyBorder="1" applyAlignment="1">
      <alignment horizontal="right" vertical="top"/>
    </xf>
    <xf numFmtId="164" fontId="11" fillId="2" borderId="6" xfId="0" applyNumberFormat="1" applyFont="1" applyFill="1" applyBorder="1" applyAlignment="1">
      <alignment horizontal="right" vertical="top"/>
    </xf>
    <xf numFmtId="164" fontId="11" fillId="2" borderId="1" xfId="0" applyNumberFormat="1" applyFont="1" applyFill="1" applyBorder="1" applyAlignment="1">
      <alignment horizontal="right" vertical="top"/>
    </xf>
    <xf numFmtId="164" fontId="5" fillId="2" borderId="5"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left" vertical="top" wrapText="1"/>
    </xf>
    <xf numFmtId="164" fontId="11" fillId="2" borderId="1" xfId="0" applyNumberFormat="1" applyFont="1" applyFill="1" applyBorder="1" applyAlignment="1">
      <alignment horizontal="right" vertical="top" wrapText="1"/>
    </xf>
    <xf numFmtId="49" fontId="5" fillId="2" borderId="1"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top" wrapText="1"/>
    </xf>
    <xf numFmtId="0" fontId="27" fillId="2" borderId="1" xfId="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NumberFormat="1" applyFont="1" applyFill="1" applyBorder="1" applyAlignment="1">
      <alignment horizontal="left" vertical="top" wrapText="1"/>
    </xf>
    <xf numFmtId="0" fontId="5" fillId="2" borderId="5"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0" fontId="49" fillId="2" borderId="5" xfId="0" applyNumberFormat="1" applyFont="1" applyFill="1" applyBorder="1" applyAlignment="1">
      <alignment horizontal="left" vertical="top" wrapText="1"/>
    </xf>
    <xf numFmtId="164" fontId="49" fillId="2" borderId="1" xfId="0" applyNumberFormat="1" applyFont="1" applyFill="1" applyBorder="1" applyAlignment="1">
      <alignment horizontal="left" vertical="top" wrapText="1"/>
    </xf>
    <xf numFmtId="0" fontId="49" fillId="2" borderId="1" xfId="0" applyFont="1" applyFill="1" applyBorder="1" applyAlignment="1">
      <alignment vertical="top" wrapText="1"/>
    </xf>
    <xf numFmtId="0" fontId="49"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164" fontId="44" fillId="2" borderId="1" xfId="0" applyNumberFormat="1" applyFont="1" applyFill="1" applyBorder="1" applyAlignment="1">
      <alignment horizontal="left" vertical="top" wrapText="1"/>
    </xf>
    <xf numFmtId="164" fontId="11" fillId="2" borderId="1" xfId="0" applyNumberFormat="1" applyFont="1" applyFill="1" applyBorder="1" applyAlignment="1">
      <alignment horizontal="right" vertical="top"/>
    </xf>
    <xf numFmtId="0" fontId="5" fillId="2" borderId="1" xfId="0"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xf>
    <xf numFmtId="164"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164" fontId="11" fillId="2" borderId="1" xfId="0" applyNumberFormat="1" applyFont="1" applyFill="1" applyBorder="1" applyAlignment="1">
      <alignment horizontal="right" vertical="top"/>
    </xf>
    <xf numFmtId="0" fontId="5" fillId="2" borderId="1" xfId="0" applyFont="1" applyFill="1" applyBorder="1" applyAlignment="1">
      <alignment horizontal="left" vertical="top" wrapText="1"/>
    </xf>
    <xf numFmtId="164"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164" fontId="11" fillId="2" borderId="1" xfId="0" applyNumberFormat="1" applyFont="1" applyFill="1" applyBorder="1" applyAlignment="1">
      <alignment horizontal="right" vertical="top"/>
    </xf>
    <xf numFmtId="3" fontId="5" fillId="2" borderId="1" xfId="0" applyNumberFormat="1" applyFont="1" applyFill="1" applyBorder="1" applyAlignment="1">
      <alignment horizontal="center" vertical="top" wrapText="1"/>
    </xf>
    <xf numFmtId="164" fontId="11" fillId="2" borderId="1" xfId="0" applyNumberFormat="1" applyFont="1" applyFill="1" applyBorder="1" applyAlignment="1">
      <alignment horizontal="right" vertical="top" wrapText="1"/>
    </xf>
    <xf numFmtId="49"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8" fillId="2" borderId="0" xfId="0" applyFont="1" applyFill="1" applyBorder="1" applyAlignment="1">
      <alignment horizontal="center"/>
    </xf>
    <xf numFmtId="0" fontId="48" fillId="2" borderId="0" xfId="0"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164" fontId="11" fillId="2" borderId="1" xfId="0" applyNumberFormat="1" applyFont="1" applyFill="1" applyBorder="1" applyAlignment="1">
      <alignment horizontal="right" vertical="top"/>
    </xf>
    <xf numFmtId="164" fontId="11" fillId="2" borderId="1" xfId="0" applyNumberFormat="1" applyFont="1" applyFill="1" applyBorder="1" applyAlignment="1">
      <alignment horizontal="right" vertical="top" wrapText="1"/>
    </xf>
    <xf numFmtId="165" fontId="5"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3" fontId="5" fillId="2" borderId="1" xfId="0" applyNumberFormat="1" applyFont="1" applyFill="1" applyBorder="1" applyAlignment="1">
      <alignment horizontal="center" vertical="top"/>
    </xf>
    <xf numFmtId="164" fontId="11" fillId="2" borderId="5" xfId="0" applyNumberFormat="1" applyFont="1" applyFill="1" applyBorder="1" applyAlignment="1">
      <alignment horizontal="right" vertical="top" wrapText="1"/>
    </xf>
    <xf numFmtId="164" fontId="11" fillId="2" borderId="6" xfId="0" applyNumberFormat="1" applyFont="1" applyFill="1" applyBorder="1" applyAlignment="1">
      <alignment horizontal="right" vertical="top" wrapText="1"/>
    </xf>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164" fontId="5" fillId="2" borderId="1" xfId="0" applyNumberFormat="1" applyFont="1" applyFill="1" applyBorder="1" applyAlignment="1">
      <alignment horizontal="center" vertical="top" wrapText="1"/>
    </xf>
    <xf numFmtId="164" fontId="11" fillId="2" borderId="5" xfId="0" applyNumberFormat="1" applyFont="1" applyFill="1" applyBorder="1" applyAlignment="1">
      <alignment horizontal="right" vertical="top"/>
    </xf>
    <xf numFmtId="164" fontId="11" fillId="2" borderId="7" xfId="0" applyNumberFormat="1" applyFont="1" applyFill="1" applyBorder="1" applyAlignment="1">
      <alignment horizontal="right" vertical="top"/>
    </xf>
    <xf numFmtId="164" fontId="11" fillId="2" borderId="6" xfId="0" applyNumberFormat="1" applyFont="1" applyFill="1" applyBorder="1" applyAlignment="1">
      <alignment horizontal="right" vertical="top"/>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49" fontId="5" fillId="2" borderId="5" xfId="0" applyNumberFormat="1" applyFont="1" applyFill="1" applyBorder="1" applyAlignment="1">
      <alignment horizontal="center" vertical="top" wrapText="1"/>
    </xf>
    <xf numFmtId="49"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165" fontId="5" fillId="2" borderId="1" xfId="0" applyNumberFormat="1" applyFont="1" applyFill="1" applyBorder="1" applyAlignment="1">
      <alignment horizontal="center" vertical="top" wrapText="1"/>
    </xf>
    <xf numFmtId="49" fontId="5" fillId="2" borderId="3" xfId="0" applyNumberFormat="1" applyFont="1" applyFill="1" applyBorder="1" applyAlignment="1">
      <alignment horizontal="left" vertical="center"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xf>
    <xf numFmtId="49" fontId="5" fillId="2" borderId="0"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164" fontId="5" fillId="2" borderId="5" xfId="0" applyNumberFormat="1" applyFont="1" applyFill="1" applyBorder="1" applyAlignment="1">
      <alignment horizontal="left" vertical="top" wrapText="1"/>
    </xf>
    <xf numFmtId="164" fontId="5" fillId="2" borderId="6" xfId="0" applyNumberFormat="1" applyFont="1" applyFill="1" applyBorder="1" applyAlignment="1">
      <alignment horizontal="left" vertical="top" wrapText="1"/>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164" fontId="5" fillId="2" borderId="5"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top" wrapText="1"/>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xf>
    <xf numFmtId="164" fontId="5" fillId="2" borderId="7" xfId="0" applyNumberFormat="1" applyFont="1" applyFill="1" applyBorder="1" applyAlignment="1">
      <alignment horizontal="left" vertical="top" wrapText="1"/>
    </xf>
    <xf numFmtId="164" fontId="49" fillId="2" borderId="5" xfId="0" applyNumberFormat="1" applyFont="1" applyFill="1" applyBorder="1" applyAlignment="1">
      <alignment horizontal="left" vertical="top" wrapText="1"/>
    </xf>
    <xf numFmtId="164" fontId="49" fillId="2" borderId="6" xfId="0" applyNumberFormat="1" applyFont="1" applyFill="1" applyBorder="1" applyAlignment="1">
      <alignment horizontal="left" vertical="top" wrapText="1"/>
    </xf>
    <xf numFmtId="164" fontId="44" fillId="2" borderId="5" xfId="0" applyNumberFormat="1" applyFont="1" applyFill="1" applyBorder="1" applyAlignment="1">
      <alignment horizontal="left" vertical="top" wrapText="1"/>
    </xf>
    <xf numFmtId="164" fontId="44" fillId="2" borderId="6" xfId="0" applyNumberFormat="1" applyFont="1" applyFill="1" applyBorder="1" applyAlignment="1">
      <alignment horizontal="left" vertical="top" wrapText="1"/>
    </xf>
    <xf numFmtId="3" fontId="5" fillId="2" borderId="5" xfId="0" applyNumberFormat="1" applyFont="1" applyFill="1" applyBorder="1" applyAlignment="1">
      <alignment horizontal="center" vertical="top"/>
    </xf>
    <xf numFmtId="3" fontId="5" fillId="2" borderId="6" xfId="0" applyNumberFormat="1" applyFont="1" applyFill="1" applyBorder="1" applyAlignment="1">
      <alignment horizontal="center" vertical="top"/>
    </xf>
    <xf numFmtId="164" fontId="11" fillId="2" borderId="5" xfId="0" applyNumberFormat="1" applyFont="1" applyFill="1" applyBorder="1" applyAlignment="1">
      <alignment horizontal="center" vertical="top"/>
    </xf>
    <xf numFmtId="164" fontId="11" fillId="2" borderId="6" xfId="0" applyNumberFormat="1" applyFont="1" applyFill="1" applyBorder="1" applyAlignment="1">
      <alignment horizontal="center"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47" fillId="2" borderId="0" xfId="0" applyFont="1" applyFill="1" applyAlignment="1">
      <alignment horizontal="left" wrapText="1"/>
    </xf>
    <xf numFmtId="0" fontId="39" fillId="2" borderId="0" xfId="0" applyFont="1" applyFill="1" applyAlignment="1">
      <alignment horizontal="left" wrapText="1"/>
    </xf>
    <xf numFmtId="0" fontId="16" fillId="2" borderId="0" xfId="0" applyFont="1" applyFill="1" applyAlignment="1">
      <alignment horizontal="center"/>
    </xf>
    <xf numFmtId="0" fontId="18" fillId="2"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1" xfId="0" applyFont="1" applyFill="1" applyBorder="1" applyAlignment="1">
      <alignment horizontal="center" vertical="top"/>
    </xf>
    <xf numFmtId="49" fontId="16" fillId="2" borderId="0" xfId="0" applyNumberFormat="1" applyFont="1" applyFill="1" applyBorder="1" applyAlignment="1">
      <alignment horizontal="left" wrapText="1"/>
    </xf>
    <xf numFmtId="0" fontId="0" fillId="2" borderId="0" xfId="0" applyFill="1" applyAlignment="1">
      <alignment horizontal="center"/>
    </xf>
    <xf numFmtId="0" fontId="21" fillId="2" borderId="1" xfId="0" applyFont="1" applyFill="1" applyBorder="1" applyAlignment="1">
      <alignment horizontal="center" vertical="top" wrapText="1"/>
    </xf>
    <xf numFmtId="0" fontId="36" fillId="2" borderId="0" xfId="0" applyFont="1" applyFill="1" applyBorder="1" applyAlignment="1">
      <alignment horizontal="left" wrapText="1"/>
    </xf>
    <xf numFmtId="164" fontId="23" fillId="2" borderId="0" xfId="0" applyNumberFormat="1" applyFont="1" applyFill="1" applyBorder="1" applyAlignment="1">
      <alignment horizontal="right" wrapText="1"/>
    </xf>
    <xf numFmtId="0" fontId="0" fillId="2" borderId="0" xfId="0" applyFill="1" applyAlignment="1">
      <alignment horizontal="left" wrapText="1"/>
    </xf>
    <xf numFmtId="49" fontId="20" fillId="2" borderId="3" xfId="0" applyNumberFormat="1" applyFont="1" applyFill="1" applyBorder="1" applyAlignment="1">
      <alignment horizontal="left" vertical="top" wrapText="1"/>
    </xf>
    <xf numFmtId="49" fontId="20" fillId="2" borderId="0" xfId="0" applyNumberFormat="1" applyFont="1" applyFill="1" applyBorder="1" applyAlignment="1">
      <alignment horizontal="left" vertical="top" wrapText="1"/>
    </xf>
    <xf numFmtId="0" fontId="0" fillId="2" borderId="0" xfId="0" applyFill="1" applyAlignment="1">
      <alignment horizontal="left"/>
    </xf>
    <xf numFmtId="0" fontId="27" fillId="2" borderId="1" xfId="1" applyFont="1" applyFill="1" applyBorder="1" applyAlignment="1">
      <alignment horizontal="left" vertical="top" wrapText="1"/>
    </xf>
    <xf numFmtId="164" fontId="30" fillId="2" borderId="1" xfId="1" applyNumberFormat="1" applyFont="1" applyFill="1" applyBorder="1" applyAlignment="1">
      <alignment horizontal="center" vertical="top" wrapText="1"/>
    </xf>
    <xf numFmtId="14" fontId="30" fillId="2" borderId="1" xfId="1" applyNumberFormat="1" applyFont="1" applyFill="1" applyBorder="1" applyAlignment="1">
      <alignment horizontal="center" vertical="top" wrapText="1"/>
    </xf>
    <xf numFmtId="49" fontId="27" fillId="2" borderId="1" xfId="1" applyNumberFormat="1" applyFont="1" applyFill="1" applyBorder="1" applyAlignment="1">
      <alignment horizontal="center" vertical="top" wrapText="1"/>
    </xf>
    <xf numFmtId="0" fontId="27" fillId="2" borderId="1" xfId="1" applyFont="1" applyFill="1" applyBorder="1" applyAlignment="1">
      <alignment horizontal="center" vertical="top" wrapText="1"/>
    </xf>
    <xf numFmtId="0" fontId="27" fillId="2" borderId="1" xfId="1" applyFont="1" applyFill="1" applyBorder="1" applyAlignment="1">
      <alignment vertical="top" wrapText="1"/>
    </xf>
    <xf numFmtId="164" fontId="27" fillId="2" borderId="0" xfId="1" applyNumberFormat="1" applyFont="1" applyFill="1" applyAlignment="1">
      <alignment horizontal="center"/>
    </xf>
    <xf numFmtId="49" fontId="27" fillId="2" borderId="0" xfId="1" applyNumberFormat="1" applyFont="1" applyFill="1" applyBorder="1" applyAlignment="1">
      <alignment horizontal="center"/>
    </xf>
    <xf numFmtId="49" fontId="27" fillId="2" borderId="0" xfId="1" applyNumberFormat="1" applyFont="1" applyFill="1" applyBorder="1" applyAlignment="1">
      <alignment horizontal="center" wrapText="1"/>
    </xf>
    <xf numFmtId="0" fontId="27" fillId="2" borderId="1" xfId="2" applyFont="1" applyFill="1" applyBorder="1" applyAlignment="1" applyProtection="1">
      <alignment horizontal="center" vertical="top" wrapText="1"/>
    </xf>
    <xf numFmtId="0" fontId="27" fillId="2" borderId="1" xfId="2" applyFont="1" applyFill="1" applyBorder="1" applyAlignment="1" applyProtection="1">
      <alignment vertical="top" wrapText="1"/>
    </xf>
    <xf numFmtId="0" fontId="30" fillId="2" borderId="1" xfId="1" applyFont="1" applyFill="1" applyBorder="1" applyAlignment="1">
      <alignment horizontal="center" vertical="top" wrapText="1"/>
    </xf>
    <xf numFmtId="0" fontId="32" fillId="2" borderId="1" xfId="1" applyFont="1" applyFill="1" applyBorder="1" applyAlignment="1">
      <alignment horizontal="left" vertical="top" wrapText="1"/>
    </xf>
    <xf numFmtId="164" fontId="27" fillId="2" borderId="1" xfId="1" applyNumberFormat="1" applyFont="1" applyFill="1" applyBorder="1" applyAlignment="1">
      <alignment horizontal="center" vertical="center" wrapText="1"/>
    </xf>
    <xf numFmtId="164" fontId="27" fillId="2" borderId="1" xfId="1" applyNumberFormat="1" applyFont="1" applyFill="1" applyBorder="1" applyAlignment="1">
      <alignment horizontal="center" vertical="center"/>
    </xf>
    <xf numFmtId="164" fontId="27" fillId="2" borderId="1" xfId="2" applyNumberFormat="1" applyFont="1" applyFill="1" applyBorder="1" applyAlignment="1" applyProtection="1">
      <alignment horizontal="center" vertical="top" wrapText="1"/>
    </xf>
    <xf numFmtId="14" fontId="30" fillId="2" borderId="5" xfId="1" applyNumberFormat="1" applyFont="1" applyFill="1" applyBorder="1" applyAlignment="1">
      <alignment horizontal="center" vertical="top" wrapText="1"/>
    </xf>
    <xf numFmtId="0" fontId="30" fillId="2" borderId="6" xfId="1" applyFont="1" applyFill="1" applyBorder="1" applyAlignment="1">
      <alignment horizontal="center" vertical="top" wrapText="1"/>
    </xf>
    <xf numFmtId="0" fontId="46" fillId="2" borderId="1" xfId="0" applyFont="1" applyFill="1" applyBorder="1"/>
    <xf numFmtId="49" fontId="35" fillId="2" borderId="0" xfId="1" applyNumberFormat="1" applyFont="1" applyFill="1" applyBorder="1" applyAlignment="1">
      <alignment horizontal="left" wrapText="1"/>
    </xf>
    <xf numFmtId="0" fontId="31" fillId="2" borderId="1" xfId="1" applyFont="1" applyFill="1" applyBorder="1" applyAlignment="1">
      <alignment horizontal="left" vertical="top" wrapText="1"/>
    </xf>
    <xf numFmtId="49" fontId="13" fillId="2" borderId="0" xfId="1" applyNumberFormat="1" applyFont="1" applyFill="1" applyBorder="1" applyAlignment="1">
      <alignment horizontal="left" wrapText="1"/>
    </xf>
    <xf numFmtId="49" fontId="27" fillId="2" borderId="0" xfId="1" applyNumberFormat="1" applyFont="1" applyFill="1" applyBorder="1" applyAlignment="1">
      <alignment horizontal="left" vertical="top" wrapText="1"/>
    </xf>
    <xf numFmtId="164" fontId="27" fillId="2" borderId="1" xfId="1" applyNumberFormat="1" applyFont="1" applyFill="1" applyBorder="1" applyAlignment="1">
      <alignment horizontal="center" vertical="top" wrapText="1"/>
    </xf>
    <xf numFmtId="164" fontId="27" fillId="2" borderId="1" xfId="1" applyNumberFormat="1" applyFont="1" applyFill="1" applyBorder="1" applyAlignment="1">
      <alignment vertical="top" wrapText="1"/>
    </xf>
    <xf numFmtId="0" fontId="27" fillId="2" borderId="5" xfId="0" applyFont="1" applyFill="1" applyBorder="1" applyAlignment="1">
      <alignment horizontal="center" vertical="top" wrapText="1"/>
    </xf>
    <xf numFmtId="0" fontId="27" fillId="2" borderId="6" xfId="0" applyFont="1" applyFill="1" applyBorder="1" applyAlignment="1">
      <alignment horizontal="center" vertical="top" wrapText="1"/>
    </xf>
    <xf numFmtId="49" fontId="27" fillId="2" borderId="3" xfId="1" applyNumberFormat="1" applyFont="1" applyFill="1" applyBorder="1" applyAlignment="1">
      <alignment horizontal="left" vertical="top" wrapText="1"/>
    </xf>
  </cellXfs>
  <cellStyles count="5">
    <cellStyle name="Гиперссылка" xfId="2" builtinId="8"/>
    <cellStyle name="Денежный" xfId="4" builtinId="4"/>
    <cellStyle name="Обычный" xfId="0" builtinId="0"/>
    <cellStyle name="Обычный 2" xfId="1"/>
    <cellStyle name="Обычный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consultantplus://offline/ref=296E051552D9B0DE54C4EEA366783458DCF3E2F270B1C5BE0EE0B1036681A6753D4434517D8E791EF555ABSAVCG"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7"/>
  <sheetViews>
    <sheetView tabSelected="1" view="pageBreakPreview" topLeftCell="A64" zoomScale="25" zoomScaleNormal="40" zoomScaleSheetLayoutView="25" workbookViewId="0">
      <pane xSplit="1" topLeftCell="B1" activePane="topRight" state="frozen"/>
      <selection pane="topRight" activeCell="BC9" sqref="BC9"/>
    </sheetView>
  </sheetViews>
  <sheetFormatPr defaultColWidth="9.140625" defaultRowHeight="42" x14ac:dyDescent="0.65"/>
  <cols>
    <col min="1" max="1" width="23.140625" style="79" customWidth="1"/>
    <col min="2" max="2" width="107" style="81" customWidth="1"/>
    <col min="3" max="3" width="43.85546875" style="81" customWidth="1"/>
    <col min="4" max="4" width="46" style="88" customWidth="1"/>
    <col min="5" max="5" width="43.140625" style="88" customWidth="1"/>
    <col min="6" max="6" width="16.85546875" style="88" customWidth="1"/>
    <col min="7" max="7" width="13.7109375" style="88" customWidth="1"/>
    <col min="8" max="8" width="16.5703125" style="88" customWidth="1"/>
    <col min="9" max="9" width="45.5703125" style="88" customWidth="1"/>
    <col min="10" max="10" width="13.85546875" style="88" customWidth="1"/>
    <col min="11" max="11" width="49.85546875" style="88" customWidth="1"/>
    <col min="12" max="12" width="15.5703125" style="88" customWidth="1"/>
    <col min="13" max="13" width="21.7109375" style="88" customWidth="1"/>
    <col min="14" max="14" width="41.7109375" style="88" customWidth="1"/>
    <col min="15" max="15" width="15.28515625" style="88" customWidth="1"/>
    <col min="16" max="16" width="46.7109375" style="88" customWidth="1"/>
    <col min="17" max="17" width="14.85546875" style="88" customWidth="1"/>
    <col min="18" max="18" width="14.5703125" style="88" customWidth="1"/>
    <col min="19" max="19" width="19.85546875" style="88" customWidth="1"/>
    <col min="20" max="20" width="48.7109375" style="88" customWidth="1"/>
    <col min="21" max="21" width="76.85546875" style="79" customWidth="1"/>
    <col min="22" max="22" width="12.42578125" style="79" customWidth="1"/>
    <col min="23" max="23" width="23.5703125" style="79" customWidth="1"/>
    <col min="24" max="24" width="30.28515625" style="80" customWidth="1"/>
    <col min="25" max="25" width="24" style="120" customWidth="1"/>
    <col min="26" max="26" width="29.85546875" style="80" customWidth="1"/>
    <col min="27" max="27" width="76.7109375" style="81" customWidth="1"/>
    <col min="28" max="28" width="80.7109375" style="81" hidden="1" customWidth="1"/>
    <col min="29" max="29" width="44.85546875" style="79" hidden="1" customWidth="1"/>
    <col min="30" max="30" width="22.28515625" style="79" hidden="1" customWidth="1"/>
    <col min="31" max="33" width="9.140625" style="79" hidden="1" customWidth="1"/>
    <col min="34" max="34" width="23" style="79" hidden="1" customWidth="1"/>
    <col min="35" max="35" width="42.42578125" style="79" hidden="1" customWidth="1"/>
    <col min="36" max="36" width="49.140625" style="79" hidden="1" customWidth="1"/>
    <col min="37" max="39" width="9.140625" style="79" hidden="1" customWidth="1"/>
    <col min="40" max="40" width="42" style="94" hidden="1" customWidth="1"/>
    <col min="41" max="41" width="9.140625" style="79" hidden="1" customWidth="1"/>
    <col min="42" max="16384" width="9.140625" style="79"/>
  </cols>
  <sheetData>
    <row r="1" spans="1:40" ht="61.5" x14ac:dyDescent="0.65">
      <c r="A1" s="243" t="s">
        <v>0</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122"/>
      <c r="AC1" s="1"/>
      <c r="AD1" s="2"/>
      <c r="AE1" s="2"/>
    </row>
    <row r="2" spans="1:40" ht="61.5" x14ac:dyDescent="0.65">
      <c r="A2" s="243" t="s">
        <v>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122"/>
      <c r="AC2" s="1"/>
      <c r="AD2" s="2"/>
      <c r="AE2" s="2"/>
    </row>
    <row r="3" spans="1:40" ht="61.5" x14ac:dyDescent="0.65">
      <c r="A3" s="243" t="s">
        <v>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122"/>
      <c r="AC3" s="1"/>
      <c r="AD3" s="2"/>
      <c r="AE3" s="2"/>
    </row>
    <row r="4" spans="1:40" x14ac:dyDescent="0.65">
      <c r="A4" s="244" t="s">
        <v>3</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123"/>
      <c r="AC4" s="1"/>
      <c r="AD4" s="2"/>
      <c r="AE4" s="2"/>
    </row>
    <row r="5" spans="1:40" ht="61.5" x14ac:dyDescent="0.65">
      <c r="A5" s="245" t="s">
        <v>422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124"/>
      <c r="AC5" s="1"/>
      <c r="AD5" s="2"/>
      <c r="AE5" s="2"/>
    </row>
    <row r="6" spans="1:40" x14ac:dyDescent="0.65">
      <c r="A6" s="3"/>
      <c r="B6" s="4"/>
      <c r="C6" s="5"/>
      <c r="D6" s="84"/>
      <c r="E6" s="84"/>
      <c r="F6" s="84"/>
      <c r="G6" s="84"/>
      <c r="H6" s="84"/>
      <c r="I6" s="84"/>
      <c r="J6" s="84"/>
      <c r="K6" s="84"/>
      <c r="L6" s="84"/>
      <c r="M6" s="84"/>
      <c r="N6" s="84"/>
      <c r="O6" s="84"/>
      <c r="P6" s="84"/>
      <c r="Q6" s="84"/>
      <c r="R6" s="84"/>
      <c r="S6" s="84"/>
      <c r="T6" s="84"/>
      <c r="U6" s="5"/>
      <c r="V6" s="3"/>
      <c r="W6" s="3"/>
      <c r="X6" s="6"/>
      <c r="Y6" s="6"/>
      <c r="Z6" s="3"/>
      <c r="AA6" s="5"/>
      <c r="AB6" s="5"/>
      <c r="AC6" s="1"/>
      <c r="AD6" s="2"/>
      <c r="AE6" s="2"/>
    </row>
    <row r="7" spans="1:40" ht="86.25" customHeight="1" x14ac:dyDescent="0.65">
      <c r="A7" s="238" t="s">
        <v>4</v>
      </c>
      <c r="B7" s="238" t="s">
        <v>5</v>
      </c>
      <c r="C7" s="238" t="s">
        <v>6</v>
      </c>
      <c r="D7" s="246" t="s">
        <v>267</v>
      </c>
      <c r="E7" s="246"/>
      <c r="F7" s="246"/>
      <c r="G7" s="246"/>
      <c r="H7" s="246"/>
      <c r="I7" s="246" t="s">
        <v>7</v>
      </c>
      <c r="J7" s="246"/>
      <c r="K7" s="246"/>
      <c r="L7" s="246"/>
      <c r="M7" s="246"/>
      <c r="N7" s="246" t="s">
        <v>8</v>
      </c>
      <c r="O7" s="246"/>
      <c r="P7" s="246"/>
      <c r="Q7" s="246"/>
      <c r="R7" s="246"/>
      <c r="S7" s="246"/>
      <c r="T7" s="246" t="s">
        <v>266</v>
      </c>
      <c r="U7" s="238" t="s">
        <v>325</v>
      </c>
      <c r="V7" s="255" t="s">
        <v>9</v>
      </c>
      <c r="W7" s="255"/>
      <c r="X7" s="255"/>
      <c r="Y7" s="255"/>
      <c r="Z7" s="238" t="s">
        <v>457</v>
      </c>
      <c r="AA7" s="237" t="s">
        <v>10</v>
      </c>
      <c r="AB7" s="179"/>
      <c r="AC7" s="99"/>
      <c r="AD7" s="19"/>
      <c r="AE7" s="2"/>
    </row>
    <row r="8" spans="1:40" ht="282" x14ac:dyDescent="0.65">
      <c r="A8" s="238"/>
      <c r="B8" s="238"/>
      <c r="C8" s="238"/>
      <c r="D8" s="246"/>
      <c r="E8" s="246"/>
      <c r="F8" s="246"/>
      <c r="G8" s="246"/>
      <c r="H8" s="246"/>
      <c r="I8" s="246" t="s">
        <v>11</v>
      </c>
      <c r="J8" s="246"/>
      <c r="K8" s="246"/>
      <c r="L8" s="246"/>
      <c r="M8" s="186" t="s">
        <v>458</v>
      </c>
      <c r="N8" s="246"/>
      <c r="O8" s="246"/>
      <c r="P8" s="246"/>
      <c r="Q8" s="246"/>
      <c r="R8" s="246"/>
      <c r="S8" s="246"/>
      <c r="T8" s="246"/>
      <c r="U8" s="238"/>
      <c r="V8" s="255"/>
      <c r="W8" s="255"/>
      <c r="X8" s="255"/>
      <c r="Y8" s="255"/>
      <c r="Z8" s="238"/>
      <c r="AA8" s="237"/>
      <c r="AB8" s="179"/>
      <c r="AC8" s="99"/>
      <c r="AD8" s="19"/>
      <c r="AE8" s="2"/>
    </row>
    <row r="9" spans="1:40" ht="327" customHeight="1" x14ac:dyDescent="0.65">
      <c r="A9" s="238"/>
      <c r="B9" s="238"/>
      <c r="C9" s="238"/>
      <c r="D9" s="85" t="s">
        <v>12</v>
      </c>
      <c r="E9" s="85" t="s">
        <v>13</v>
      </c>
      <c r="F9" s="92" t="s">
        <v>14</v>
      </c>
      <c r="G9" s="85" t="s">
        <v>15</v>
      </c>
      <c r="H9" s="85" t="s">
        <v>16</v>
      </c>
      <c r="I9" s="85" t="s">
        <v>12</v>
      </c>
      <c r="J9" s="92" t="s">
        <v>12</v>
      </c>
      <c r="K9" s="85" t="s">
        <v>13</v>
      </c>
      <c r="L9" s="92" t="s">
        <v>13</v>
      </c>
      <c r="M9" s="85" t="s">
        <v>15</v>
      </c>
      <c r="N9" s="85" t="s">
        <v>12</v>
      </c>
      <c r="O9" s="92" t="s">
        <v>12</v>
      </c>
      <c r="P9" s="85" t="s">
        <v>13</v>
      </c>
      <c r="Q9" s="92" t="s">
        <v>13</v>
      </c>
      <c r="R9" s="85" t="s">
        <v>15</v>
      </c>
      <c r="S9" s="85" t="s">
        <v>16</v>
      </c>
      <c r="T9" s="246"/>
      <c r="U9" s="238"/>
      <c r="V9" s="7" t="s">
        <v>17</v>
      </c>
      <c r="W9" s="7" t="s">
        <v>18</v>
      </c>
      <c r="X9" s="7" t="s">
        <v>19</v>
      </c>
      <c r="Y9" s="7" t="s">
        <v>20</v>
      </c>
      <c r="Z9" s="238"/>
      <c r="AA9" s="237"/>
      <c r="AB9" s="196">
        <f>N11/D11*100</f>
        <v>92.973915289405141</v>
      </c>
      <c r="AC9" s="196">
        <f>P11/E11*100</f>
        <v>97.760498690945667</v>
      </c>
      <c r="AD9" s="100" t="s">
        <v>21</v>
      </c>
      <c r="AE9" s="2"/>
    </row>
    <row r="10" spans="1:40" x14ac:dyDescent="0.65">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V10" s="8">
        <v>22</v>
      </c>
      <c r="W10" s="8">
        <v>23</v>
      </c>
      <c r="X10" s="8">
        <v>24</v>
      </c>
      <c r="Y10" s="8">
        <v>25</v>
      </c>
      <c r="Z10" s="8">
        <v>26</v>
      </c>
      <c r="AA10" s="8">
        <v>27</v>
      </c>
      <c r="AB10" s="8"/>
      <c r="AC10" s="101"/>
      <c r="AD10" s="102"/>
      <c r="AE10" s="9"/>
    </row>
    <row r="11" spans="1:40" ht="103.5" x14ac:dyDescent="0.65">
      <c r="A11" s="10"/>
      <c r="B11" s="11" t="s">
        <v>22</v>
      </c>
      <c r="C11" s="82"/>
      <c r="D11" s="86">
        <f>D13+D14+D61+D79</f>
        <v>24277378.800000001</v>
      </c>
      <c r="E11" s="86">
        <f>E13+E14+E61+E79</f>
        <v>41869843.799999997</v>
      </c>
      <c r="F11" s="86">
        <f>F12+F14+F61+F79</f>
        <v>0</v>
      </c>
      <c r="G11" s="86">
        <f>G12+G14+G61+G79</f>
        <v>0</v>
      </c>
      <c r="H11" s="86">
        <f>H12+H14+H61+H79</f>
        <v>0</v>
      </c>
      <c r="I11" s="86">
        <f>I12+I14+I61+I79</f>
        <v>23114551.999999996</v>
      </c>
      <c r="J11" s="86">
        <f>J12+J14+J61+J79</f>
        <v>0</v>
      </c>
      <c r="K11" s="86">
        <f>K13+K14+K61+K79</f>
        <v>41781101.200000003</v>
      </c>
      <c r="L11" s="86">
        <f>L12+L14+L61+L79</f>
        <v>0</v>
      </c>
      <c r="M11" s="86">
        <f>M12+M14+M61+M79</f>
        <v>0</v>
      </c>
      <c r="N11" s="86">
        <f>N12+N14+N61+N79</f>
        <v>22571629.600000001</v>
      </c>
      <c r="O11" s="86">
        <f>O12+O14+O61+O79</f>
        <v>0</v>
      </c>
      <c r="P11" s="86">
        <f>P13+P14+P61+P79</f>
        <v>40932168.099999994</v>
      </c>
      <c r="Q11" s="86">
        <f>Q12+Q14+Q61+Q79</f>
        <v>0</v>
      </c>
      <c r="R11" s="86">
        <f>R12+R14+R61+R79</f>
        <v>0</v>
      </c>
      <c r="S11" s="86">
        <f>S12+S14+S61+S79</f>
        <v>0</v>
      </c>
      <c r="T11" s="86">
        <f>T13+T14+T61+T79</f>
        <v>14690792.520000001</v>
      </c>
      <c r="U11" s="202" t="s">
        <v>23</v>
      </c>
      <c r="V11" s="180" t="s">
        <v>23</v>
      </c>
      <c r="W11" s="180" t="s">
        <v>23</v>
      </c>
      <c r="X11" s="180" t="s">
        <v>23</v>
      </c>
      <c r="Y11" s="180" t="s">
        <v>23</v>
      </c>
      <c r="Z11" s="180" t="s">
        <v>23</v>
      </c>
      <c r="AA11" s="185" t="s">
        <v>23</v>
      </c>
      <c r="AB11" s="185"/>
      <c r="AC11" s="103"/>
      <c r="AD11" s="104">
        <f>(N11+P11)/(I11+K11)*100</f>
        <v>97.85524078829981</v>
      </c>
      <c r="AE11" s="13"/>
      <c r="AH11" s="13">
        <f>N11/I11*100</f>
        <v>97.651166243671966</v>
      </c>
      <c r="AI11" s="13">
        <f>P11/K11*100</f>
        <v>97.968140916304975</v>
      </c>
    </row>
    <row r="12" spans="1:40" ht="160.5" customHeight="1" x14ac:dyDescent="0.65">
      <c r="A12" s="180"/>
      <c r="B12" s="11" t="s">
        <v>24</v>
      </c>
      <c r="C12" s="83"/>
      <c r="D12" s="192"/>
      <c r="E12" s="192"/>
      <c r="F12" s="192"/>
      <c r="G12" s="192"/>
      <c r="H12" s="192"/>
      <c r="I12" s="192"/>
      <c r="J12" s="192"/>
      <c r="K12" s="192"/>
      <c r="L12" s="192"/>
      <c r="M12" s="192"/>
      <c r="N12" s="192"/>
      <c r="O12" s="192"/>
      <c r="P12" s="192"/>
      <c r="Q12" s="192"/>
      <c r="R12" s="192"/>
      <c r="S12" s="192"/>
      <c r="T12" s="192"/>
      <c r="U12" s="202"/>
      <c r="V12" s="180"/>
      <c r="W12" s="180"/>
      <c r="X12" s="180"/>
      <c r="Y12" s="180"/>
      <c r="Z12" s="180"/>
      <c r="AA12" s="185"/>
      <c r="AB12" s="185"/>
      <c r="AC12" s="103"/>
      <c r="AD12" s="104" t="e">
        <f>(N12+P12)/(I12+K12)*100</f>
        <v>#DIV/0!</v>
      </c>
      <c r="AE12" s="2"/>
    </row>
    <row r="13" spans="1:40" ht="409.6" customHeight="1" x14ac:dyDescent="0.65">
      <c r="A13" s="180" t="s">
        <v>25</v>
      </c>
      <c r="B13" s="179" t="s">
        <v>26</v>
      </c>
      <c r="C13" s="196" t="s">
        <v>27</v>
      </c>
      <c r="D13" s="192">
        <v>0</v>
      </c>
      <c r="E13" s="197">
        <v>1445529</v>
      </c>
      <c r="F13" s="192">
        <v>0</v>
      </c>
      <c r="G13" s="192">
        <v>0</v>
      </c>
      <c r="H13" s="192">
        <v>0</v>
      </c>
      <c r="I13" s="192">
        <v>0</v>
      </c>
      <c r="J13" s="192">
        <v>0</v>
      </c>
      <c r="K13" s="192">
        <v>1445529</v>
      </c>
      <c r="L13" s="192">
        <v>0</v>
      </c>
      <c r="M13" s="192">
        <v>0</v>
      </c>
      <c r="N13" s="192">
        <v>0</v>
      </c>
      <c r="O13" s="192">
        <v>0</v>
      </c>
      <c r="P13" s="192">
        <v>1434629.6</v>
      </c>
      <c r="Q13" s="192">
        <v>0</v>
      </c>
      <c r="R13" s="192">
        <v>0</v>
      </c>
      <c r="S13" s="192"/>
      <c r="T13" s="192">
        <v>1436966.7</v>
      </c>
      <c r="U13" s="114" t="s">
        <v>478</v>
      </c>
      <c r="V13" s="180" t="s">
        <v>23</v>
      </c>
      <c r="W13" s="180" t="s">
        <v>23</v>
      </c>
      <c r="X13" s="180" t="s">
        <v>23</v>
      </c>
      <c r="Y13" s="180" t="s">
        <v>23</v>
      </c>
      <c r="Z13" s="180" t="s">
        <v>23</v>
      </c>
      <c r="AA13" s="185" t="s">
        <v>23</v>
      </c>
      <c r="AB13" s="90"/>
      <c r="AC13" s="103">
        <f>P13-K13</f>
        <v>-10899.399999999907</v>
      </c>
      <c r="AD13" s="104"/>
      <c r="AE13" s="2"/>
      <c r="AH13" s="13">
        <f>P13/K13*100</f>
        <v>99.245992297629456</v>
      </c>
      <c r="AJ13" s="113"/>
    </row>
    <row r="14" spans="1:40" ht="103.5" x14ac:dyDescent="0.65">
      <c r="A14" s="14" t="s">
        <v>28</v>
      </c>
      <c r="B14" s="11" t="s">
        <v>29</v>
      </c>
      <c r="C14" s="82"/>
      <c r="D14" s="86">
        <f t="shared" ref="D14:T14" si="0">SUM(D15:D60)</f>
        <v>4740174.8</v>
      </c>
      <c r="E14" s="86">
        <f t="shared" si="0"/>
        <v>11325290.999999998</v>
      </c>
      <c r="F14" s="86">
        <f t="shared" si="0"/>
        <v>0</v>
      </c>
      <c r="G14" s="86">
        <f t="shared" si="0"/>
        <v>0</v>
      </c>
      <c r="H14" s="86">
        <f t="shared" si="0"/>
        <v>0</v>
      </c>
      <c r="I14" s="86">
        <f t="shared" si="0"/>
        <v>4295329.7</v>
      </c>
      <c r="J14" s="86">
        <f t="shared" si="0"/>
        <v>0</v>
      </c>
      <c r="K14" s="86">
        <f t="shared" si="0"/>
        <v>11325290.999999998</v>
      </c>
      <c r="L14" s="86">
        <f t="shared" si="0"/>
        <v>0</v>
      </c>
      <c r="M14" s="86">
        <f t="shared" si="0"/>
        <v>0</v>
      </c>
      <c r="N14" s="86">
        <f t="shared" si="0"/>
        <v>4197833</v>
      </c>
      <c r="O14" s="86">
        <f t="shared" si="0"/>
        <v>0</v>
      </c>
      <c r="P14" s="86">
        <f t="shared" si="0"/>
        <v>11035669.300000001</v>
      </c>
      <c r="Q14" s="86">
        <f t="shared" si="0"/>
        <v>0</v>
      </c>
      <c r="R14" s="86">
        <f t="shared" si="0"/>
        <v>0</v>
      </c>
      <c r="S14" s="86">
        <f t="shared" si="0"/>
        <v>0</v>
      </c>
      <c r="T14" s="86">
        <f t="shared" si="0"/>
        <v>10738631.800000003</v>
      </c>
      <c r="U14" s="15" t="s">
        <v>23</v>
      </c>
      <c r="V14" s="15" t="s">
        <v>23</v>
      </c>
      <c r="W14" s="15" t="s">
        <v>23</v>
      </c>
      <c r="X14" s="15" t="s">
        <v>23</v>
      </c>
      <c r="Y14" s="15" t="s">
        <v>23</v>
      </c>
      <c r="Z14" s="15" t="s">
        <v>23</v>
      </c>
      <c r="AA14" s="16" t="s">
        <v>23</v>
      </c>
      <c r="AB14" s="16"/>
      <c r="AC14" s="103"/>
      <c r="AD14" s="104">
        <f>(N14+P14)/(I14+K14)*100</f>
        <v>97.521747647326222</v>
      </c>
      <c r="AE14" s="17"/>
      <c r="AH14" s="13">
        <f>N14/I14*100</f>
        <v>97.73016958395533</v>
      </c>
      <c r="AI14" s="13">
        <f>P14/K14*100</f>
        <v>97.442699706347526</v>
      </c>
      <c r="AJ14" s="112"/>
      <c r="AN14" s="95"/>
    </row>
    <row r="15" spans="1:40" ht="409.6" customHeight="1" x14ac:dyDescent="0.65">
      <c r="A15" s="198" t="s">
        <v>25</v>
      </c>
      <c r="B15" s="179" t="s">
        <v>30</v>
      </c>
      <c r="C15" s="179" t="s">
        <v>27</v>
      </c>
      <c r="D15" s="192">
        <v>0</v>
      </c>
      <c r="E15" s="192">
        <v>388466.6</v>
      </c>
      <c r="F15" s="197">
        <v>0</v>
      </c>
      <c r="G15" s="192">
        <v>0</v>
      </c>
      <c r="H15" s="192">
        <v>0</v>
      </c>
      <c r="I15" s="192">
        <v>0</v>
      </c>
      <c r="J15" s="192">
        <v>0</v>
      </c>
      <c r="K15" s="192">
        <v>388466.6</v>
      </c>
      <c r="L15" s="192">
        <v>0</v>
      </c>
      <c r="M15" s="192">
        <v>0</v>
      </c>
      <c r="N15" s="192">
        <v>0</v>
      </c>
      <c r="O15" s="192">
        <v>0</v>
      </c>
      <c r="P15" s="192">
        <v>384203.1</v>
      </c>
      <c r="Q15" s="192">
        <v>0</v>
      </c>
      <c r="R15" s="192">
        <v>0</v>
      </c>
      <c r="S15" s="192">
        <v>0</v>
      </c>
      <c r="T15" s="192">
        <v>4470.2</v>
      </c>
      <c r="U15" s="205" t="s">
        <v>524</v>
      </c>
      <c r="V15" s="180"/>
      <c r="W15" s="182" t="s">
        <v>31</v>
      </c>
      <c r="X15" s="183">
        <v>2229</v>
      </c>
      <c r="Y15" s="183">
        <v>2149</v>
      </c>
      <c r="Z15" s="182" t="s">
        <v>373</v>
      </c>
      <c r="AA15" s="181" t="s">
        <v>450</v>
      </c>
      <c r="AB15" s="181"/>
      <c r="AC15" s="103">
        <f>P15-K15</f>
        <v>-4263.5</v>
      </c>
      <c r="AD15" s="19"/>
      <c r="AE15" s="2"/>
      <c r="AJ15" s="112"/>
      <c r="AN15" s="94" t="s">
        <v>284</v>
      </c>
    </row>
    <row r="16" spans="1:40" ht="409.5" customHeight="1" x14ac:dyDescent="0.65">
      <c r="A16" s="198" t="s">
        <v>33</v>
      </c>
      <c r="B16" s="179" t="s">
        <v>330</v>
      </c>
      <c r="C16" s="179" t="s">
        <v>27</v>
      </c>
      <c r="D16" s="192">
        <v>0</v>
      </c>
      <c r="E16" s="197">
        <v>3969.3</v>
      </c>
      <c r="F16" s="192">
        <v>0</v>
      </c>
      <c r="G16" s="192">
        <v>0</v>
      </c>
      <c r="H16" s="192">
        <v>0</v>
      </c>
      <c r="I16" s="192">
        <v>0</v>
      </c>
      <c r="J16" s="192">
        <v>0</v>
      </c>
      <c r="K16" s="192">
        <v>3969.3</v>
      </c>
      <c r="L16" s="192">
        <v>0</v>
      </c>
      <c r="M16" s="192">
        <v>0</v>
      </c>
      <c r="N16" s="192">
        <v>0</v>
      </c>
      <c r="O16" s="192">
        <v>0</v>
      </c>
      <c r="P16" s="192">
        <v>3733.7</v>
      </c>
      <c r="Q16" s="192">
        <v>0</v>
      </c>
      <c r="R16" s="192">
        <v>0</v>
      </c>
      <c r="S16" s="192">
        <v>0</v>
      </c>
      <c r="T16" s="192">
        <v>3733.7</v>
      </c>
      <c r="U16" s="205" t="s">
        <v>490</v>
      </c>
      <c r="V16" s="180"/>
      <c r="W16" s="182" t="s">
        <v>31</v>
      </c>
      <c r="X16" s="180">
        <v>16</v>
      </c>
      <c r="Y16" s="180">
        <v>16</v>
      </c>
      <c r="Z16" s="182" t="s">
        <v>32</v>
      </c>
      <c r="AA16" s="181"/>
      <c r="AB16" s="181"/>
      <c r="AC16" s="103">
        <f>P16-K16</f>
        <v>-235.60000000000036</v>
      </c>
      <c r="AD16" s="19"/>
      <c r="AE16" s="2"/>
      <c r="AJ16" s="113"/>
      <c r="AN16" s="94" t="s">
        <v>284</v>
      </c>
    </row>
    <row r="17" spans="1:40" ht="409.6" customHeight="1" x14ac:dyDescent="0.65">
      <c r="A17" s="198" t="s">
        <v>34</v>
      </c>
      <c r="B17" s="179" t="s">
        <v>35</v>
      </c>
      <c r="C17" s="179" t="s">
        <v>27</v>
      </c>
      <c r="D17" s="192">
        <v>0</v>
      </c>
      <c r="E17" s="192">
        <v>22793.5</v>
      </c>
      <c r="F17" s="192">
        <v>0</v>
      </c>
      <c r="G17" s="192">
        <v>0</v>
      </c>
      <c r="H17" s="192">
        <v>0</v>
      </c>
      <c r="I17" s="192">
        <v>0</v>
      </c>
      <c r="J17" s="192">
        <v>0</v>
      </c>
      <c r="K17" s="192">
        <v>22793.5</v>
      </c>
      <c r="L17" s="192">
        <v>0</v>
      </c>
      <c r="M17" s="192">
        <v>0</v>
      </c>
      <c r="N17" s="192">
        <v>0</v>
      </c>
      <c r="O17" s="192">
        <v>0</v>
      </c>
      <c r="P17" s="192">
        <v>21820.2</v>
      </c>
      <c r="Q17" s="192">
        <v>0</v>
      </c>
      <c r="R17" s="192">
        <v>0</v>
      </c>
      <c r="S17" s="192">
        <v>0</v>
      </c>
      <c r="T17" s="192">
        <v>21820.2</v>
      </c>
      <c r="U17" s="74" t="s">
        <v>491</v>
      </c>
      <c r="V17" s="18"/>
      <c r="W17" s="182" t="s">
        <v>31</v>
      </c>
      <c r="X17" s="180">
        <v>80</v>
      </c>
      <c r="Y17" s="180">
        <v>80</v>
      </c>
      <c r="Z17" s="182" t="s">
        <v>32</v>
      </c>
      <c r="AA17" s="181"/>
      <c r="AB17" s="181">
        <f>P17-K17</f>
        <v>-973.29999999999927</v>
      </c>
      <c r="AC17" s="103">
        <f t="shared" ref="AC17:AC76" si="1">P17-K17</f>
        <v>-973.29999999999927</v>
      </c>
      <c r="AD17" s="19"/>
      <c r="AE17" s="2"/>
      <c r="AJ17" s="113"/>
      <c r="AN17" s="94" t="s">
        <v>284</v>
      </c>
    </row>
    <row r="18" spans="1:40" ht="408.75" customHeight="1" x14ac:dyDescent="0.65">
      <c r="A18" s="214" t="s">
        <v>36</v>
      </c>
      <c r="B18" s="213" t="s">
        <v>331</v>
      </c>
      <c r="C18" s="213" t="s">
        <v>27</v>
      </c>
      <c r="D18" s="212">
        <v>0</v>
      </c>
      <c r="E18" s="212">
        <v>19222.2</v>
      </c>
      <c r="F18" s="212">
        <v>0</v>
      </c>
      <c r="G18" s="212">
        <v>0</v>
      </c>
      <c r="H18" s="212">
        <v>0</v>
      </c>
      <c r="I18" s="212">
        <v>0</v>
      </c>
      <c r="J18" s="212">
        <v>0</v>
      </c>
      <c r="K18" s="212">
        <v>19222.2</v>
      </c>
      <c r="L18" s="212">
        <v>0</v>
      </c>
      <c r="M18" s="212">
        <v>0</v>
      </c>
      <c r="N18" s="212">
        <v>0</v>
      </c>
      <c r="O18" s="212">
        <v>0</v>
      </c>
      <c r="P18" s="212">
        <v>18833.8</v>
      </c>
      <c r="Q18" s="212">
        <v>0</v>
      </c>
      <c r="R18" s="212">
        <v>0</v>
      </c>
      <c r="S18" s="212">
        <v>0</v>
      </c>
      <c r="T18" s="212">
        <v>277.7</v>
      </c>
      <c r="U18" s="218" t="s">
        <v>576</v>
      </c>
      <c r="V18" s="215"/>
      <c r="W18" s="216" t="s">
        <v>31</v>
      </c>
      <c r="X18" s="217">
        <v>9713</v>
      </c>
      <c r="Y18" s="217">
        <v>9732</v>
      </c>
      <c r="Z18" s="216" t="s">
        <v>32</v>
      </c>
      <c r="AA18" s="218"/>
      <c r="AB18" s="218">
        <f>P18-K18</f>
        <v>-388.40000000000146</v>
      </c>
      <c r="AC18" s="103">
        <f t="shared" si="1"/>
        <v>-388.40000000000146</v>
      </c>
      <c r="AD18" s="19"/>
      <c r="AE18" s="2"/>
      <c r="AJ18" s="212"/>
      <c r="AN18" s="94" t="s">
        <v>284</v>
      </c>
    </row>
    <row r="19" spans="1:40" ht="408.75" customHeight="1" x14ac:dyDescent="0.65">
      <c r="A19" s="198" t="s">
        <v>459</v>
      </c>
      <c r="B19" s="179" t="s">
        <v>38</v>
      </c>
      <c r="C19" s="179" t="s">
        <v>27</v>
      </c>
      <c r="D19" s="192">
        <v>159028.79999999999</v>
      </c>
      <c r="E19" s="192">
        <v>0</v>
      </c>
      <c r="F19" s="192">
        <v>0</v>
      </c>
      <c r="G19" s="192">
        <v>0</v>
      </c>
      <c r="H19" s="192">
        <v>0</v>
      </c>
      <c r="I19" s="192">
        <v>145980</v>
      </c>
      <c r="J19" s="192">
        <v>0</v>
      </c>
      <c r="K19" s="192">
        <v>0</v>
      </c>
      <c r="L19" s="192">
        <v>0</v>
      </c>
      <c r="M19" s="192">
        <v>0</v>
      </c>
      <c r="N19" s="192">
        <v>144057.5</v>
      </c>
      <c r="O19" s="192">
        <v>0</v>
      </c>
      <c r="P19" s="192">
        <v>0</v>
      </c>
      <c r="Q19" s="192">
        <v>0</v>
      </c>
      <c r="R19" s="192">
        <v>0</v>
      </c>
      <c r="S19" s="192">
        <v>0</v>
      </c>
      <c r="T19" s="192">
        <v>42.3</v>
      </c>
      <c r="U19" s="205" t="s">
        <v>577</v>
      </c>
      <c r="V19" s="180"/>
      <c r="W19" s="182" t="s">
        <v>31</v>
      </c>
      <c r="X19" s="183">
        <v>9054</v>
      </c>
      <c r="Y19" s="183">
        <v>9107</v>
      </c>
      <c r="Z19" s="182" t="s">
        <v>32</v>
      </c>
      <c r="AA19" s="181"/>
      <c r="AB19" s="181">
        <f>N19-I19</f>
        <v>-1922.5</v>
      </c>
      <c r="AC19" s="103">
        <f>N19-I19</f>
        <v>-1922.5</v>
      </c>
      <c r="AD19" s="19"/>
      <c r="AE19" s="2"/>
      <c r="AJ19" s="112"/>
      <c r="AN19" s="94" t="s">
        <v>284</v>
      </c>
    </row>
    <row r="20" spans="1:40" ht="409.6" customHeight="1" x14ac:dyDescent="0.65">
      <c r="A20" s="182" t="s">
        <v>39</v>
      </c>
      <c r="B20" s="179" t="s">
        <v>40</v>
      </c>
      <c r="C20" s="179" t="s">
        <v>27</v>
      </c>
      <c r="D20" s="192">
        <v>278.2</v>
      </c>
      <c r="E20" s="197">
        <v>0</v>
      </c>
      <c r="F20" s="192">
        <v>0</v>
      </c>
      <c r="G20" s="192">
        <v>0</v>
      </c>
      <c r="H20" s="192">
        <v>0</v>
      </c>
      <c r="I20" s="192">
        <v>278.2</v>
      </c>
      <c r="J20" s="192">
        <v>0</v>
      </c>
      <c r="K20" s="192">
        <v>0</v>
      </c>
      <c r="L20" s="192">
        <v>0</v>
      </c>
      <c r="M20" s="192">
        <v>0</v>
      </c>
      <c r="N20" s="192">
        <v>134.69999999999999</v>
      </c>
      <c r="O20" s="192">
        <v>0</v>
      </c>
      <c r="P20" s="192">
        <v>0</v>
      </c>
      <c r="Q20" s="192">
        <v>0</v>
      </c>
      <c r="R20" s="192">
        <v>0</v>
      </c>
      <c r="S20" s="192">
        <v>0</v>
      </c>
      <c r="T20" s="192">
        <v>0</v>
      </c>
      <c r="U20" s="205" t="s">
        <v>492</v>
      </c>
      <c r="V20" s="180"/>
      <c r="W20" s="182" t="s">
        <v>31</v>
      </c>
      <c r="X20" s="180">
        <v>8</v>
      </c>
      <c r="Y20" s="180">
        <v>8</v>
      </c>
      <c r="Z20" s="182" t="s">
        <v>32</v>
      </c>
      <c r="AA20" s="181"/>
      <c r="AB20" s="181">
        <f>N20-I20</f>
        <v>-143.5</v>
      </c>
      <c r="AC20" s="103">
        <f>N20-I20</f>
        <v>-143.5</v>
      </c>
      <c r="AD20" s="19"/>
      <c r="AE20" s="2"/>
      <c r="AJ20" s="112"/>
      <c r="AN20" s="94" t="s">
        <v>284</v>
      </c>
    </row>
    <row r="21" spans="1:40" ht="408.75" customHeight="1" x14ac:dyDescent="0.65">
      <c r="A21" s="182" t="s">
        <v>460</v>
      </c>
      <c r="B21" s="179" t="s">
        <v>333</v>
      </c>
      <c r="C21" s="179" t="s">
        <v>27</v>
      </c>
      <c r="D21" s="197">
        <v>0</v>
      </c>
      <c r="E21" s="197">
        <v>2705485.6</v>
      </c>
      <c r="F21" s="192">
        <v>0</v>
      </c>
      <c r="G21" s="192">
        <v>0</v>
      </c>
      <c r="H21" s="192">
        <v>0</v>
      </c>
      <c r="I21" s="192">
        <v>0</v>
      </c>
      <c r="J21" s="192">
        <v>0</v>
      </c>
      <c r="K21" s="192">
        <v>2704985.6</v>
      </c>
      <c r="L21" s="192">
        <v>0</v>
      </c>
      <c r="M21" s="192">
        <v>0</v>
      </c>
      <c r="N21" s="192">
        <v>0</v>
      </c>
      <c r="O21" s="192">
        <v>0</v>
      </c>
      <c r="P21" s="192">
        <v>2642309.2000000002</v>
      </c>
      <c r="Q21" s="192">
        <v>0</v>
      </c>
      <c r="R21" s="192">
        <v>0</v>
      </c>
      <c r="S21" s="192">
        <v>0</v>
      </c>
      <c r="T21" s="192">
        <f>38596.1+115.7+1755.2</f>
        <v>40466.999999999993</v>
      </c>
      <c r="U21" s="205" t="s">
        <v>591</v>
      </c>
      <c r="V21" s="180"/>
      <c r="W21" s="182" t="s">
        <v>31</v>
      </c>
      <c r="X21" s="183">
        <v>389853</v>
      </c>
      <c r="Y21" s="183">
        <v>390461</v>
      </c>
      <c r="Z21" s="182" t="s">
        <v>32</v>
      </c>
      <c r="AA21" s="181"/>
      <c r="AB21" s="181">
        <f>P21-K21</f>
        <v>-62676.399999999907</v>
      </c>
      <c r="AC21" s="103">
        <f t="shared" si="1"/>
        <v>-62676.399999999907</v>
      </c>
      <c r="AD21" s="19"/>
      <c r="AE21" s="98"/>
      <c r="AJ21" s="143"/>
      <c r="AN21" s="94" t="s">
        <v>284</v>
      </c>
    </row>
    <row r="22" spans="1:40" ht="409.6" customHeight="1" x14ac:dyDescent="0.65">
      <c r="A22" s="75" t="s">
        <v>43</v>
      </c>
      <c r="B22" s="179" t="s">
        <v>332</v>
      </c>
      <c r="C22" s="179" t="s">
        <v>27</v>
      </c>
      <c r="D22" s="192">
        <v>0</v>
      </c>
      <c r="E22" s="197">
        <v>1449697</v>
      </c>
      <c r="F22" s="197">
        <v>0</v>
      </c>
      <c r="G22" s="192">
        <v>0</v>
      </c>
      <c r="H22" s="192">
        <v>0</v>
      </c>
      <c r="I22" s="192">
        <v>0</v>
      </c>
      <c r="J22" s="192">
        <v>0</v>
      </c>
      <c r="K22" s="197">
        <v>1449697</v>
      </c>
      <c r="L22" s="192">
        <v>0</v>
      </c>
      <c r="M22" s="192">
        <v>0</v>
      </c>
      <c r="N22" s="192">
        <v>0</v>
      </c>
      <c r="O22" s="192">
        <v>0</v>
      </c>
      <c r="P22" s="192">
        <v>1426486.5</v>
      </c>
      <c r="Q22" s="192">
        <v>0</v>
      </c>
      <c r="R22" s="192">
        <v>0</v>
      </c>
      <c r="S22" s="192">
        <v>0</v>
      </c>
      <c r="T22" s="192">
        <v>1426486.5</v>
      </c>
      <c r="U22" s="76" t="s">
        <v>525</v>
      </c>
      <c r="V22" s="18"/>
      <c r="W22" s="74" t="s">
        <v>44</v>
      </c>
      <c r="X22" s="183">
        <v>60054</v>
      </c>
      <c r="Y22" s="183">
        <v>59036</v>
      </c>
      <c r="Z22" s="182" t="s">
        <v>373</v>
      </c>
      <c r="AA22" s="181" t="s">
        <v>428</v>
      </c>
      <c r="AB22" s="181">
        <f>P22-K22</f>
        <v>-23210.5</v>
      </c>
      <c r="AC22" s="103">
        <f t="shared" si="1"/>
        <v>-23210.5</v>
      </c>
      <c r="AD22" s="19"/>
      <c r="AE22" s="2"/>
      <c r="AJ22" s="112"/>
      <c r="AN22" s="94" t="s">
        <v>285</v>
      </c>
    </row>
    <row r="23" spans="1:40" ht="409.6" customHeight="1" x14ac:dyDescent="0.65">
      <c r="A23" s="252" t="s">
        <v>461</v>
      </c>
      <c r="B23" s="250" t="s">
        <v>334</v>
      </c>
      <c r="C23" s="250" t="s">
        <v>27</v>
      </c>
      <c r="D23" s="247">
        <v>4094382.6</v>
      </c>
      <c r="E23" s="241">
        <v>0</v>
      </c>
      <c r="F23" s="241">
        <v>0</v>
      </c>
      <c r="G23" s="247">
        <v>0</v>
      </c>
      <c r="H23" s="247">
        <v>0</v>
      </c>
      <c r="I23" s="247">
        <v>3662586.3</v>
      </c>
      <c r="J23" s="247">
        <v>0</v>
      </c>
      <c r="K23" s="247">
        <v>0</v>
      </c>
      <c r="L23" s="247">
        <v>0</v>
      </c>
      <c r="M23" s="247">
        <v>0</v>
      </c>
      <c r="N23" s="247">
        <v>3573733.9</v>
      </c>
      <c r="O23" s="247">
        <v>0</v>
      </c>
      <c r="P23" s="247">
        <v>0</v>
      </c>
      <c r="Q23" s="247">
        <v>0</v>
      </c>
      <c r="R23" s="247">
        <v>0</v>
      </c>
      <c r="S23" s="247">
        <v>0</v>
      </c>
      <c r="T23" s="190">
        <v>3573737.7</v>
      </c>
      <c r="U23" s="272" t="s">
        <v>527</v>
      </c>
      <c r="V23" s="263"/>
      <c r="W23" s="265" t="s">
        <v>31</v>
      </c>
      <c r="X23" s="276">
        <v>475384</v>
      </c>
      <c r="Y23" s="276">
        <v>488913</v>
      </c>
      <c r="Z23" s="265" t="s">
        <v>32</v>
      </c>
      <c r="AA23" s="274"/>
      <c r="AB23" s="187">
        <f>N23-I23</f>
        <v>-88852.399999999907</v>
      </c>
      <c r="AC23" s="103">
        <f>N23-I23</f>
        <v>-88852.399999999907</v>
      </c>
      <c r="AD23" s="105"/>
      <c r="AE23" s="20"/>
      <c r="AJ23" s="112"/>
      <c r="AN23" s="94" t="s">
        <v>285</v>
      </c>
    </row>
    <row r="24" spans="1:40" ht="27" customHeight="1" x14ac:dyDescent="0.65">
      <c r="A24" s="253"/>
      <c r="B24" s="251"/>
      <c r="C24" s="251"/>
      <c r="D24" s="249"/>
      <c r="E24" s="242"/>
      <c r="F24" s="242"/>
      <c r="G24" s="249"/>
      <c r="H24" s="249"/>
      <c r="I24" s="249"/>
      <c r="J24" s="249"/>
      <c r="K24" s="249"/>
      <c r="L24" s="249"/>
      <c r="M24" s="249"/>
      <c r="N24" s="249"/>
      <c r="O24" s="249"/>
      <c r="P24" s="249"/>
      <c r="Q24" s="249"/>
      <c r="R24" s="249"/>
      <c r="S24" s="249"/>
      <c r="T24" s="191"/>
      <c r="U24" s="273"/>
      <c r="V24" s="264"/>
      <c r="W24" s="266"/>
      <c r="X24" s="277"/>
      <c r="Y24" s="277"/>
      <c r="Z24" s="266"/>
      <c r="AA24" s="275"/>
      <c r="AB24" s="188"/>
      <c r="AC24" s="103">
        <f t="shared" si="1"/>
        <v>0</v>
      </c>
      <c r="AD24" s="105"/>
      <c r="AE24" s="20"/>
      <c r="AJ24" s="112"/>
    </row>
    <row r="25" spans="1:40" ht="408.75" customHeight="1" x14ac:dyDescent="0.65">
      <c r="A25" s="198" t="s">
        <v>46</v>
      </c>
      <c r="B25" s="179" t="s">
        <v>335</v>
      </c>
      <c r="C25" s="179" t="s">
        <v>27</v>
      </c>
      <c r="D25" s="192">
        <v>6022.7</v>
      </c>
      <c r="E25" s="197">
        <v>14708.5</v>
      </c>
      <c r="F25" s="197">
        <v>0</v>
      </c>
      <c r="G25" s="192">
        <v>0</v>
      </c>
      <c r="H25" s="192">
        <v>0</v>
      </c>
      <c r="I25" s="192">
        <v>6022.7</v>
      </c>
      <c r="J25" s="192">
        <v>0</v>
      </c>
      <c r="K25" s="192">
        <v>14708.5</v>
      </c>
      <c r="L25" s="192">
        <v>0</v>
      </c>
      <c r="M25" s="192">
        <v>0</v>
      </c>
      <c r="N25" s="192">
        <v>6022.7</v>
      </c>
      <c r="O25" s="192">
        <v>0</v>
      </c>
      <c r="P25" s="192">
        <v>14678.7</v>
      </c>
      <c r="Q25" s="192">
        <v>0</v>
      </c>
      <c r="R25" s="192">
        <v>0</v>
      </c>
      <c r="S25" s="192">
        <v>0</v>
      </c>
      <c r="T25" s="192">
        <v>7924.7</v>
      </c>
      <c r="U25" s="207" t="s">
        <v>493</v>
      </c>
      <c r="V25" s="180"/>
      <c r="W25" s="182" t="s">
        <v>31</v>
      </c>
      <c r="X25" s="183">
        <v>11600</v>
      </c>
      <c r="Y25" s="183">
        <v>11761</v>
      </c>
      <c r="Z25" s="182" t="s">
        <v>32</v>
      </c>
      <c r="AA25" s="193"/>
      <c r="AB25" s="181"/>
      <c r="AC25" s="103">
        <f>P25-K25</f>
        <v>-29.799999999999272</v>
      </c>
      <c r="AD25" s="19"/>
      <c r="AE25" s="2"/>
      <c r="AJ25" s="112"/>
      <c r="AN25" s="94" t="s">
        <v>285</v>
      </c>
    </row>
    <row r="26" spans="1:40" ht="409.6" customHeight="1" x14ac:dyDescent="0.65">
      <c r="A26" s="74" t="s">
        <v>47</v>
      </c>
      <c r="B26" s="179" t="s">
        <v>336</v>
      </c>
      <c r="C26" s="179" t="s">
        <v>27</v>
      </c>
      <c r="D26" s="192">
        <v>0</v>
      </c>
      <c r="E26" s="197">
        <v>3976642.2</v>
      </c>
      <c r="F26" s="197">
        <v>0</v>
      </c>
      <c r="G26" s="192">
        <v>0</v>
      </c>
      <c r="H26" s="192">
        <v>0</v>
      </c>
      <c r="I26" s="192">
        <v>0</v>
      </c>
      <c r="J26" s="192">
        <v>0</v>
      </c>
      <c r="K26" s="192">
        <v>3976642.2</v>
      </c>
      <c r="L26" s="192">
        <v>0</v>
      </c>
      <c r="M26" s="192">
        <v>0</v>
      </c>
      <c r="N26" s="192">
        <v>0</v>
      </c>
      <c r="O26" s="192">
        <v>0</v>
      </c>
      <c r="P26" s="192">
        <v>3909634.7</v>
      </c>
      <c r="Q26" s="192">
        <v>0</v>
      </c>
      <c r="R26" s="192">
        <v>0</v>
      </c>
      <c r="S26" s="192">
        <v>0</v>
      </c>
      <c r="T26" s="192">
        <v>3742584.1</v>
      </c>
      <c r="U26" s="208" t="s">
        <v>526</v>
      </c>
      <c r="V26" s="18"/>
      <c r="W26" s="74" t="s">
        <v>31</v>
      </c>
      <c r="X26" s="183">
        <v>366720</v>
      </c>
      <c r="Y26" s="183">
        <v>366890</v>
      </c>
      <c r="Z26" s="182" t="s">
        <v>32</v>
      </c>
      <c r="AA26" s="211"/>
      <c r="AB26" s="181">
        <f>P26-K26</f>
        <v>-67007.5</v>
      </c>
      <c r="AC26" s="103">
        <f t="shared" si="1"/>
        <v>-67007.5</v>
      </c>
      <c r="AD26" s="19"/>
      <c r="AE26" s="2"/>
      <c r="AJ26" s="112"/>
      <c r="AN26" s="94" t="s">
        <v>285</v>
      </c>
    </row>
    <row r="27" spans="1:40" ht="409.6" customHeight="1" x14ac:dyDescent="0.65">
      <c r="A27" s="198" t="s">
        <v>48</v>
      </c>
      <c r="B27" s="179" t="s">
        <v>337</v>
      </c>
      <c r="C27" s="179" t="s">
        <v>27</v>
      </c>
      <c r="D27" s="192">
        <v>0</v>
      </c>
      <c r="E27" s="197">
        <v>5652.5</v>
      </c>
      <c r="F27" s="197">
        <v>0</v>
      </c>
      <c r="G27" s="192">
        <v>0</v>
      </c>
      <c r="H27" s="192">
        <v>0</v>
      </c>
      <c r="I27" s="192">
        <v>0</v>
      </c>
      <c r="J27" s="192">
        <v>0</v>
      </c>
      <c r="K27" s="192">
        <v>5652.5</v>
      </c>
      <c r="L27" s="192">
        <v>0</v>
      </c>
      <c r="M27" s="192">
        <v>0</v>
      </c>
      <c r="N27" s="192">
        <v>0</v>
      </c>
      <c r="O27" s="192">
        <v>0</v>
      </c>
      <c r="P27" s="192">
        <v>5109.1000000000004</v>
      </c>
      <c r="Q27" s="192">
        <v>0</v>
      </c>
      <c r="R27" s="192">
        <v>0</v>
      </c>
      <c r="S27" s="192">
        <v>0</v>
      </c>
      <c r="T27" s="192">
        <v>75</v>
      </c>
      <c r="U27" s="205" t="s">
        <v>528</v>
      </c>
      <c r="V27" s="180"/>
      <c r="W27" s="182" t="s">
        <v>31</v>
      </c>
      <c r="X27" s="180">
        <v>620</v>
      </c>
      <c r="Y27" s="180">
        <v>620</v>
      </c>
      <c r="Z27" s="182" t="s">
        <v>32</v>
      </c>
      <c r="AA27" s="187"/>
      <c r="AB27" s="181">
        <f>P27-K27</f>
        <v>-543.39999999999964</v>
      </c>
      <c r="AC27" s="103">
        <f t="shared" si="1"/>
        <v>-543.39999999999964</v>
      </c>
      <c r="AD27" s="19"/>
      <c r="AE27" s="21"/>
      <c r="AJ27" s="143"/>
      <c r="AN27" s="94" t="s">
        <v>284</v>
      </c>
    </row>
    <row r="28" spans="1:40" ht="408.75" customHeight="1" x14ac:dyDescent="0.65">
      <c r="A28" s="198" t="s">
        <v>49</v>
      </c>
      <c r="B28" s="179" t="s">
        <v>338</v>
      </c>
      <c r="C28" s="179" t="s">
        <v>27</v>
      </c>
      <c r="D28" s="192">
        <v>0</v>
      </c>
      <c r="E28" s="197">
        <v>12275.4</v>
      </c>
      <c r="F28" s="192">
        <v>0</v>
      </c>
      <c r="G28" s="192">
        <v>0</v>
      </c>
      <c r="H28" s="192">
        <v>0</v>
      </c>
      <c r="I28" s="192">
        <v>0</v>
      </c>
      <c r="J28" s="192">
        <v>0</v>
      </c>
      <c r="K28" s="192">
        <v>12275.4</v>
      </c>
      <c r="L28" s="192">
        <v>0</v>
      </c>
      <c r="M28" s="192">
        <v>0</v>
      </c>
      <c r="N28" s="192">
        <v>0</v>
      </c>
      <c r="O28" s="192">
        <v>0</v>
      </c>
      <c r="P28" s="192">
        <v>11070.1</v>
      </c>
      <c r="Q28" s="192">
        <v>0</v>
      </c>
      <c r="R28" s="192">
        <v>0</v>
      </c>
      <c r="S28" s="192">
        <v>0</v>
      </c>
      <c r="T28" s="192">
        <v>75</v>
      </c>
      <c r="U28" s="205" t="s">
        <v>494</v>
      </c>
      <c r="V28" s="180"/>
      <c r="W28" s="182" t="s">
        <v>31</v>
      </c>
      <c r="X28" s="183">
        <v>1373</v>
      </c>
      <c r="Y28" s="183">
        <v>1376</v>
      </c>
      <c r="Z28" s="182" t="s">
        <v>32</v>
      </c>
      <c r="AA28" s="181"/>
      <c r="AB28" s="181">
        <f>P28-K28</f>
        <v>-1205.2999999999993</v>
      </c>
      <c r="AC28" s="103">
        <f t="shared" si="1"/>
        <v>-1205.2999999999993</v>
      </c>
      <c r="AD28" s="19"/>
      <c r="AE28" s="2"/>
      <c r="AJ28" s="143"/>
      <c r="AN28" s="94" t="s">
        <v>284</v>
      </c>
    </row>
    <row r="29" spans="1:40" ht="409.6" customHeight="1" x14ac:dyDescent="0.65">
      <c r="A29" s="198" t="s">
        <v>50</v>
      </c>
      <c r="B29" s="179" t="s">
        <v>51</v>
      </c>
      <c r="C29" s="179" t="s">
        <v>27</v>
      </c>
      <c r="D29" s="192">
        <v>0</v>
      </c>
      <c r="E29" s="197">
        <v>2441.1</v>
      </c>
      <c r="F29" s="192">
        <v>0</v>
      </c>
      <c r="G29" s="192">
        <v>0</v>
      </c>
      <c r="H29" s="192">
        <v>0</v>
      </c>
      <c r="I29" s="192">
        <v>0</v>
      </c>
      <c r="J29" s="192">
        <v>0</v>
      </c>
      <c r="K29" s="192">
        <v>2441.1</v>
      </c>
      <c r="L29" s="192">
        <v>0</v>
      </c>
      <c r="M29" s="192">
        <v>0</v>
      </c>
      <c r="N29" s="192">
        <v>0</v>
      </c>
      <c r="O29" s="192">
        <v>0</v>
      </c>
      <c r="P29" s="192">
        <v>1831.9</v>
      </c>
      <c r="Q29" s="192">
        <v>0</v>
      </c>
      <c r="R29" s="192">
        <v>0</v>
      </c>
      <c r="S29" s="192">
        <v>0</v>
      </c>
      <c r="T29" s="192">
        <v>17.899999999999999</v>
      </c>
      <c r="U29" s="205" t="s">
        <v>559</v>
      </c>
      <c r="V29" s="180"/>
      <c r="W29" s="182" t="s">
        <v>31</v>
      </c>
      <c r="X29" s="180">
        <v>350</v>
      </c>
      <c r="Y29" s="180">
        <v>346</v>
      </c>
      <c r="Z29" s="182" t="s">
        <v>373</v>
      </c>
      <c r="AA29" s="181" t="s">
        <v>430</v>
      </c>
      <c r="AB29" s="181">
        <f>P29-K29</f>
        <v>-609.19999999999982</v>
      </c>
      <c r="AC29" s="103">
        <f t="shared" si="1"/>
        <v>-609.19999999999982</v>
      </c>
      <c r="AD29" s="19"/>
      <c r="AE29" s="2"/>
      <c r="AJ29" s="112"/>
      <c r="AN29" s="94" t="s">
        <v>285</v>
      </c>
    </row>
    <row r="30" spans="1:40" ht="408.75" customHeight="1" x14ac:dyDescent="0.65">
      <c r="A30" s="198" t="s">
        <v>53</v>
      </c>
      <c r="B30" s="179" t="s">
        <v>277</v>
      </c>
      <c r="C30" s="179" t="s">
        <v>27</v>
      </c>
      <c r="D30" s="192">
        <v>0</v>
      </c>
      <c r="E30" s="197">
        <v>54.7</v>
      </c>
      <c r="F30" s="192">
        <v>0</v>
      </c>
      <c r="G30" s="192">
        <v>0</v>
      </c>
      <c r="H30" s="192">
        <v>0</v>
      </c>
      <c r="I30" s="192">
        <v>0</v>
      </c>
      <c r="J30" s="192">
        <v>0</v>
      </c>
      <c r="K30" s="192">
        <v>54.7</v>
      </c>
      <c r="L30" s="192">
        <v>0</v>
      </c>
      <c r="M30" s="192">
        <v>0</v>
      </c>
      <c r="N30" s="192">
        <v>0</v>
      </c>
      <c r="O30" s="192">
        <v>0</v>
      </c>
      <c r="P30" s="192">
        <v>49.3</v>
      </c>
      <c r="Q30" s="192">
        <v>0</v>
      </c>
      <c r="R30" s="192">
        <v>0</v>
      </c>
      <c r="S30" s="192">
        <v>0</v>
      </c>
      <c r="T30" s="192">
        <v>7.8</v>
      </c>
      <c r="U30" s="205" t="s">
        <v>529</v>
      </c>
      <c r="V30" s="180"/>
      <c r="W30" s="182" t="s">
        <v>31</v>
      </c>
      <c r="X30" s="180">
        <v>22</v>
      </c>
      <c r="Y30" s="180">
        <v>22</v>
      </c>
      <c r="Z30" s="182" t="s">
        <v>32</v>
      </c>
      <c r="AA30" s="181"/>
      <c r="AB30" s="181"/>
      <c r="AC30" s="103">
        <f t="shared" si="1"/>
        <v>-5.4000000000000057</v>
      </c>
      <c r="AD30" s="19"/>
      <c r="AE30" s="2"/>
      <c r="AJ30" s="112"/>
    </row>
    <row r="31" spans="1:40" ht="285.75" customHeight="1" x14ac:dyDescent="0.65">
      <c r="A31" s="238" t="s">
        <v>54</v>
      </c>
      <c r="B31" s="237" t="s">
        <v>339</v>
      </c>
      <c r="C31" s="237" t="s">
        <v>27</v>
      </c>
      <c r="D31" s="234">
        <v>1402.7</v>
      </c>
      <c r="E31" s="234">
        <v>0</v>
      </c>
      <c r="F31" s="234">
        <v>0</v>
      </c>
      <c r="G31" s="234">
        <v>0</v>
      </c>
      <c r="H31" s="234">
        <v>0</v>
      </c>
      <c r="I31" s="234">
        <v>1402.7</v>
      </c>
      <c r="J31" s="234">
        <v>0</v>
      </c>
      <c r="K31" s="234">
        <v>0</v>
      </c>
      <c r="L31" s="234">
        <v>0</v>
      </c>
      <c r="M31" s="234">
        <v>0</v>
      </c>
      <c r="N31" s="234">
        <v>1185.7</v>
      </c>
      <c r="O31" s="234">
        <v>0</v>
      </c>
      <c r="P31" s="234">
        <v>0</v>
      </c>
      <c r="Q31" s="234">
        <v>0</v>
      </c>
      <c r="R31" s="234">
        <v>0</v>
      </c>
      <c r="S31" s="234">
        <v>0</v>
      </c>
      <c r="T31" s="278">
        <v>1185.7</v>
      </c>
      <c r="U31" s="260" t="s">
        <v>530</v>
      </c>
      <c r="V31" s="239"/>
      <c r="W31" s="238" t="s">
        <v>31</v>
      </c>
      <c r="X31" s="239">
        <v>278</v>
      </c>
      <c r="Y31" s="239">
        <v>279</v>
      </c>
      <c r="Z31" s="238" t="s">
        <v>32</v>
      </c>
      <c r="AA31" s="254"/>
      <c r="AB31" s="181">
        <f>N31-I31</f>
        <v>-217</v>
      </c>
      <c r="AC31" s="103">
        <f>N31-I31</f>
        <v>-217</v>
      </c>
      <c r="AD31" s="19"/>
      <c r="AE31" s="2"/>
      <c r="AJ31" s="112"/>
      <c r="AN31" s="94" t="s">
        <v>284</v>
      </c>
    </row>
    <row r="32" spans="1:40" ht="325.5" customHeight="1" x14ac:dyDescent="0.65">
      <c r="A32" s="238"/>
      <c r="B32" s="237"/>
      <c r="C32" s="237"/>
      <c r="D32" s="234"/>
      <c r="E32" s="234"/>
      <c r="F32" s="234"/>
      <c r="G32" s="234"/>
      <c r="H32" s="234"/>
      <c r="I32" s="234"/>
      <c r="J32" s="234"/>
      <c r="K32" s="234"/>
      <c r="L32" s="234"/>
      <c r="M32" s="234"/>
      <c r="N32" s="234"/>
      <c r="O32" s="234"/>
      <c r="P32" s="234"/>
      <c r="Q32" s="234"/>
      <c r="R32" s="234"/>
      <c r="S32" s="234"/>
      <c r="T32" s="279"/>
      <c r="U32" s="260"/>
      <c r="V32" s="239"/>
      <c r="W32" s="238"/>
      <c r="X32" s="239"/>
      <c r="Y32" s="239"/>
      <c r="Z32" s="238"/>
      <c r="AA32" s="254"/>
      <c r="AB32" s="181"/>
      <c r="AC32" s="103">
        <f t="shared" si="1"/>
        <v>0</v>
      </c>
      <c r="AD32" s="19"/>
      <c r="AE32" s="2"/>
      <c r="AJ32" s="112"/>
    </row>
    <row r="33" spans="1:40" ht="408.75" customHeight="1" x14ac:dyDescent="0.65">
      <c r="A33" s="238" t="s">
        <v>55</v>
      </c>
      <c r="B33" s="237" t="s">
        <v>340</v>
      </c>
      <c r="C33" s="237" t="s">
        <v>27</v>
      </c>
      <c r="D33" s="234">
        <v>0</v>
      </c>
      <c r="E33" s="234">
        <v>1552</v>
      </c>
      <c r="F33" s="234">
        <v>0</v>
      </c>
      <c r="G33" s="234">
        <v>0</v>
      </c>
      <c r="H33" s="234">
        <v>0</v>
      </c>
      <c r="I33" s="234">
        <v>0</v>
      </c>
      <c r="J33" s="234">
        <v>0</v>
      </c>
      <c r="K33" s="234">
        <v>1552</v>
      </c>
      <c r="L33" s="234">
        <v>0</v>
      </c>
      <c r="M33" s="234">
        <v>0</v>
      </c>
      <c r="N33" s="234">
        <v>0</v>
      </c>
      <c r="O33" s="234">
        <v>0</v>
      </c>
      <c r="P33" s="234">
        <v>1396.3</v>
      </c>
      <c r="Q33" s="234">
        <v>0</v>
      </c>
      <c r="R33" s="234">
        <v>0</v>
      </c>
      <c r="S33" s="234">
        <v>0</v>
      </c>
      <c r="T33" s="247">
        <v>1396.3</v>
      </c>
      <c r="U33" s="254" t="s">
        <v>481</v>
      </c>
      <c r="V33" s="239"/>
      <c r="W33" s="238" t="s">
        <v>31</v>
      </c>
      <c r="X33" s="239">
        <v>260</v>
      </c>
      <c r="Y33" s="239">
        <v>251</v>
      </c>
      <c r="Z33" s="238" t="s">
        <v>373</v>
      </c>
      <c r="AA33" s="261" t="s">
        <v>429</v>
      </c>
      <c r="AB33" s="181">
        <f>P33-K33</f>
        <v>-155.70000000000005</v>
      </c>
      <c r="AC33" s="103">
        <f t="shared" si="1"/>
        <v>-155.70000000000005</v>
      </c>
      <c r="AD33" s="19"/>
      <c r="AE33" s="2"/>
      <c r="AJ33" s="112"/>
      <c r="AN33" s="94" t="s">
        <v>284</v>
      </c>
    </row>
    <row r="34" spans="1:40" ht="408.75" customHeight="1" x14ac:dyDescent="0.65">
      <c r="A34" s="238"/>
      <c r="B34" s="237"/>
      <c r="C34" s="237"/>
      <c r="D34" s="234"/>
      <c r="E34" s="234"/>
      <c r="F34" s="234"/>
      <c r="G34" s="234"/>
      <c r="H34" s="234"/>
      <c r="I34" s="234"/>
      <c r="J34" s="234"/>
      <c r="K34" s="234"/>
      <c r="L34" s="234"/>
      <c r="M34" s="234"/>
      <c r="N34" s="234"/>
      <c r="O34" s="234"/>
      <c r="P34" s="234"/>
      <c r="Q34" s="234"/>
      <c r="R34" s="234"/>
      <c r="S34" s="234"/>
      <c r="T34" s="248"/>
      <c r="U34" s="254"/>
      <c r="V34" s="239"/>
      <c r="W34" s="238"/>
      <c r="X34" s="239"/>
      <c r="Y34" s="239"/>
      <c r="Z34" s="238"/>
      <c r="AA34" s="271"/>
      <c r="AB34" s="181"/>
      <c r="AC34" s="103"/>
      <c r="AD34" s="19"/>
      <c r="AE34" s="2"/>
      <c r="AJ34" s="234"/>
    </row>
    <row r="35" spans="1:40" ht="99.75" customHeight="1" x14ac:dyDescent="0.65">
      <c r="A35" s="238"/>
      <c r="B35" s="237"/>
      <c r="C35" s="237"/>
      <c r="D35" s="234"/>
      <c r="E35" s="234"/>
      <c r="F35" s="234"/>
      <c r="G35" s="234"/>
      <c r="H35" s="234"/>
      <c r="I35" s="234"/>
      <c r="J35" s="234"/>
      <c r="K35" s="234"/>
      <c r="L35" s="234"/>
      <c r="M35" s="234"/>
      <c r="N35" s="234"/>
      <c r="O35" s="234"/>
      <c r="P35" s="234"/>
      <c r="Q35" s="234"/>
      <c r="R35" s="234"/>
      <c r="S35" s="234"/>
      <c r="T35" s="249"/>
      <c r="U35" s="254"/>
      <c r="V35" s="239"/>
      <c r="W35" s="238"/>
      <c r="X35" s="239"/>
      <c r="Y35" s="239"/>
      <c r="Z35" s="238"/>
      <c r="AA35" s="262"/>
      <c r="AB35" s="181"/>
      <c r="AC35" s="103"/>
      <c r="AD35" s="19"/>
      <c r="AE35" s="2"/>
      <c r="AJ35" s="234"/>
    </row>
    <row r="36" spans="1:40" ht="409.6" customHeight="1" x14ac:dyDescent="0.65">
      <c r="A36" s="198" t="s">
        <v>462</v>
      </c>
      <c r="B36" s="179" t="s">
        <v>57</v>
      </c>
      <c r="C36" s="179" t="s">
        <v>27</v>
      </c>
      <c r="D36" s="192">
        <v>0</v>
      </c>
      <c r="E36" s="192">
        <v>37583.300000000003</v>
      </c>
      <c r="F36" s="192">
        <v>0</v>
      </c>
      <c r="G36" s="192">
        <v>0</v>
      </c>
      <c r="H36" s="192">
        <v>0</v>
      </c>
      <c r="I36" s="192">
        <v>0</v>
      </c>
      <c r="J36" s="192">
        <v>0</v>
      </c>
      <c r="K36" s="192">
        <v>38083.300000000003</v>
      </c>
      <c r="L36" s="192">
        <v>0</v>
      </c>
      <c r="M36" s="192">
        <v>0</v>
      </c>
      <c r="N36" s="192">
        <v>0</v>
      </c>
      <c r="O36" s="192">
        <v>0</v>
      </c>
      <c r="P36" s="192">
        <v>37134.199999999997</v>
      </c>
      <c r="Q36" s="192">
        <v>0</v>
      </c>
      <c r="R36" s="192">
        <v>0</v>
      </c>
      <c r="S36" s="192">
        <v>0</v>
      </c>
      <c r="T36" s="192">
        <v>642.79999999999995</v>
      </c>
      <c r="U36" s="201" t="s">
        <v>480</v>
      </c>
      <c r="V36" s="180"/>
      <c r="W36" s="182" t="s">
        <v>31</v>
      </c>
      <c r="X36" s="183">
        <v>6027</v>
      </c>
      <c r="Y36" s="183">
        <v>5726</v>
      </c>
      <c r="Z36" s="182" t="s">
        <v>373</v>
      </c>
      <c r="AA36" s="181" t="s">
        <v>437</v>
      </c>
      <c r="AB36" s="181">
        <f>P36-K36</f>
        <v>-949.10000000000582</v>
      </c>
      <c r="AC36" s="103">
        <f t="shared" si="1"/>
        <v>-949.10000000000582</v>
      </c>
      <c r="AD36" s="19"/>
      <c r="AE36" s="2"/>
      <c r="AJ36" s="112">
        <f>P36-K36</f>
        <v>-949.10000000000582</v>
      </c>
      <c r="AN36" s="94" t="s">
        <v>285</v>
      </c>
    </row>
    <row r="37" spans="1:40" ht="331.5" customHeight="1" x14ac:dyDescent="0.65">
      <c r="A37" s="233" t="s">
        <v>58</v>
      </c>
      <c r="B37" s="237" t="s">
        <v>59</v>
      </c>
      <c r="C37" s="237" t="s">
        <v>27</v>
      </c>
      <c r="D37" s="234">
        <v>0</v>
      </c>
      <c r="E37" s="235">
        <v>6.9</v>
      </c>
      <c r="F37" s="234">
        <v>0</v>
      </c>
      <c r="G37" s="234">
        <v>0</v>
      </c>
      <c r="H37" s="234">
        <v>0</v>
      </c>
      <c r="I37" s="234">
        <v>0</v>
      </c>
      <c r="J37" s="234">
        <v>0</v>
      </c>
      <c r="K37" s="234">
        <v>6.9</v>
      </c>
      <c r="L37" s="234">
        <v>0</v>
      </c>
      <c r="M37" s="234">
        <v>0</v>
      </c>
      <c r="N37" s="234">
        <v>0</v>
      </c>
      <c r="O37" s="234">
        <v>0</v>
      </c>
      <c r="P37" s="234">
        <v>0</v>
      </c>
      <c r="Q37" s="234">
        <v>0</v>
      </c>
      <c r="R37" s="234">
        <v>0</v>
      </c>
      <c r="S37" s="234">
        <v>0</v>
      </c>
      <c r="T37" s="234">
        <v>0</v>
      </c>
      <c r="U37" s="237" t="s">
        <v>479</v>
      </c>
      <c r="V37" s="258"/>
      <c r="W37" s="237" t="s">
        <v>31</v>
      </c>
      <c r="X37" s="239">
        <v>1</v>
      </c>
      <c r="Y37" s="239">
        <v>0</v>
      </c>
      <c r="Z37" s="238" t="s">
        <v>373</v>
      </c>
      <c r="AA37" s="254" t="s">
        <v>438</v>
      </c>
      <c r="AB37" s="181"/>
      <c r="AC37" s="103">
        <f t="shared" si="1"/>
        <v>-6.9</v>
      </c>
      <c r="AD37" s="19"/>
      <c r="AE37" s="2"/>
      <c r="AJ37" s="112"/>
      <c r="AN37" s="94" t="s">
        <v>284</v>
      </c>
    </row>
    <row r="38" spans="1:40" ht="52.5" customHeight="1" x14ac:dyDescent="0.65">
      <c r="A38" s="233"/>
      <c r="B38" s="237"/>
      <c r="C38" s="237"/>
      <c r="D38" s="234"/>
      <c r="E38" s="235"/>
      <c r="F38" s="234"/>
      <c r="G38" s="234"/>
      <c r="H38" s="234"/>
      <c r="I38" s="234"/>
      <c r="J38" s="234"/>
      <c r="K38" s="234"/>
      <c r="L38" s="234"/>
      <c r="M38" s="234"/>
      <c r="N38" s="234"/>
      <c r="O38" s="234"/>
      <c r="P38" s="234"/>
      <c r="Q38" s="234"/>
      <c r="R38" s="234"/>
      <c r="S38" s="234"/>
      <c r="T38" s="234"/>
      <c r="U38" s="237"/>
      <c r="V38" s="258"/>
      <c r="W38" s="237"/>
      <c r="X38" s="239"/>
      <c r="Y38" s="239"/>
      <c r="Z38" s="238"/>
      <c r="AA38" s="254"/>
      <c r="AB38" s="181"/>
      <c r="AC38" s="103">
        <f t="shared" si="1"/>
        <v>0</v>
      </c>
      <c r="AD38" s="19"/>
      <c r="AE38" s="2"/>
      <c r="AJ38" s="234">
        <f>P39-K39</f>
        <v>-182.5</v>
      </c>
    </row>
    <row r="39" spans="1:40" ht="364.5" customHeight="1" x14ac:dyDescent="0.65">
      <c r="A39" s="198" t="s">
        <v>60</v>
      </c>
      <c r="B39" s="179" t="s">
        <v>61</v>
      </c>
      <c r="C39" s="179" t="s">
        <v>27</v>
      </c>
      <c r="D39" s="192">
        <v>0</v>
      </c>
      <c r="E39" s="192">
        <v>197.5</v>
      </c>
      <c r="F39" s="192">
        <v>0</v>
      </c>
      <c r="G39" s="192">
        <v>0</v>
      </c>
      <c r="H39" s="192">
        <v>0</v>
      </c>
      <c r="I39" s="192">
        <v>0</v>
      </c>
      <c r="J39" s="192">
        <v>0</v>
      </c>
      <c r="K39" s="192">
        <v>197.5</v>
      </c>
      <c r="L39" s="192">
        <v>0</v>
      </c>
      <c r="M39" s="192">
        <v>0</v>
      </c>
      <c r="N39" s="192">
        <v>0</v>
      </c>
      <c r="O39" s="192">
        <v>0</v>
      </c>
      <c r="P39" s="192">
        <v>15</v>
      </c>
      <c r="Q39" s="192">
        <v>0</v>
      </c>
      <c r="R39" s="192">
        <v>0</v>
      </c>
      <c r="S39" s="192">
        <v>0</v>
      </c>
      <c r="T39" s="192">
        <v>0</v>
      </c>
      <c r="U39" s="201" t="s">
        <v>570</v>
      </c>
      <c r="V39" s="180"/>
      <c r="W39" s="182" t="s">
        <v>31</v>
      </c>
      <c r="X39" s="180">
        <v>13</v>
      </c>
      <c r="Y39" s="180">
        <v>1</v>
      </c>
      <c r="Z39" s="182" t="s">
        <v>373</v>
      </c>
      <c r="AA39" s="181" t="s">
        <v>473</v>
      </c>
      <c r="AB39" s="181"/>
      <c r="AC39" s="103">
        <f t="shared" si="1"/>
        <v>-182.5</v>
      </c>
      <c r="AD39" s="19"/>
      <c r="AE39" s="2"/>
      <c r="AJ39" s="234"/>
      <c r="AN39" s="94" t="s">
        <v>284</v>
      </c>
    </row>
    <row r="40" spans="1:40" ht="409.5" customHeight="1" x14ac:dyDescent="0.65">
      <c r="A40" s="198" t="s">
        <v>62</v>
      </c>
      <c r="B40" s="179" t="s">
        <v>255</v>
      </c>
      <c r="C40" s="179" t="s">
        <v>27</v>
      </c>
      <c r="D40" s="192">
        <v>325321.59999999998</v>
      </c>
      <c r="E40" s="192">
        <v>0</v>
      </c>
      <c r="F40" s="192">
        <v>0</v>
      </c>
      <c r="G40" s="192">
        <v>0</v>
      </c>
      <c r="H40" s="192">
        <v>0</v>
      </c>
      <c r="I40" s="192">
        <v>325321.59999999998</v>
      </c>
      <c r="J40" s="192">
        <v>0</v>
      </c>
      <c r="K40" s="192">
        <v>0</v>
      </c>
      <c r="L40" s="192">
        <v>0</v>
      </c>
      <c r="M40" s="192">
        <v>0</v>
      </c>
      <c r="N40" s="192">
        <v>318960.3</v>
      </c>
      <c r="O40" s="192">
        <v>0</v>
      </c>
      <c r="P40" s="192">
        <v>0</v>
      </c>
      <c r="Q40" s="192">
        <v>0</v>
      </c>
      <c r="R40" s="192">
        <v>0</v>
      </c>
      <c r="S40" s="192">
        <v>0</v>
      </c>
      <c r="T40" s="192">
        <v>526.6</v>
      </c>
      <c r="U40" s="209" t="s">
        <v>532</v>
      </c>
      <c r="V40" s="180"/>
      <c r="W40" s="182" t="s">
        <v>31</v>
      </c>
      <c r="X40" s="183">
        <v>21997</v>
      </c>
      <c r="Y40" s="183">
        <v>21759</v>
      </c>
      <c r="Z40" s="182" t="s">
        <v>373</v>
      </c>
      <c r="AA40" s="181" t="s">
        <v>439</v>
      </c>
      <c r="AB40" s="181">
        <f>N40-I40</f>
        <v>-6361.2999999999884</v>
      </c>
      <c r="AC40" s="103">
        <f>N40-I40</f>
        <v>-6361.2999999999884</v>
      </c>
      <c r="AD40" s="19"/>
      <c r="AE40" s="2"/>
      <c r="AJ40" s="113">
        <f>N40-I40</f>
        <v>-6361.2999999999884</v>
      </c>
      <c r="AN40" s="94" t="s">
        <v>284</v>
      </c>
    </row>
    <row r="41" spans="1:40" ht="356.25" customHeight="1" x14ac:dyDescent="0.65">
      <c r="A41" s="75" t="s">
        <v>63</v>
      </c>
      <c r="B41" s="179" t="s">
        <v>258</v>
      </c>
      <c r="C41" s="179" t="s">
        <v>27</v>
      </c>
      <c r="D41" s="192">
        <v>0</v>
      </c>
      <c r="E41" s="192">
        <v>97684.800000000003</v>
      </c>
      <c r="F41" s="192">
        <v>0</v>
      </c>
      <c r="G41" s="192">
        <v>0</v>
      </c>
      <c r="H41" s="192">
        <v>0</v>
      </c>
      <c r="I41" s="192">
        <v>0</v>
      </c>
      <c r="J41" s="192">
        <v>0</v>
      </c>
      <c r="K41" s="192">
        <v>97684.800000000003</v>
      </c>
      <c r="L41" s="192">
        <v>0</v>
      </c>
      <c r="M41" s="192">
        <v>0</v>
      </c>
      <c r="N41" s="192">
        <v>0</v>
      </c>
      <c r="O41" s="192">
        <v>0</v>
      </c>
      <c r="P41" s="192">
        <v>96389.5</v>
      </c>
      <c r="Q41" s="192">
        <v>0</v>
      </c>
      <c r="R41" s="192">
        <v>0</v>
      </c>
      <c r="S41" s="192">
        <v>0</v>
      </c>
      <c r="T41" s="192">
        <v>1268.3</v>
      </c>
      <c r="U41" s="77" t="s">
        <v>531</v>
      </c>
      <c r="V41" s="74"/>
      <c r="W41" s="74" t="s">
        <v>31</v>
      </c>
      <c r="X41" s="180">
        <v>175</v>
      </c>
      <c r="Y41" s="180">
        <v>172</v>
      </c>
      <c r="Z41" s="182" t="s">
        <v>373</v>
      </c>
      <c r="AA41" s="181" t="s">
        <v>474</v>
      </c>
      <c r="AB41" s="181">
        <f>P41-K41</f>
        <v>-1295.3000000000029</v>
      </c>
      <c r="AC41" s="103">
        <f t="shared" si="1"/>
        <v>-1295.3000000000029</v>
      </c>
      <c r="AD41" s="19"/>
      <c r="AE41" s="2"/>
      <c r="AJ41" s="112">
        <f>P41-K41</f>
        <v>-1295.3000000000029</v>
      </c>
      <c r="AN41" s="94" t="s">
        <v>284</v>
      </c>
    </row>
    <row r="42" spans="1:40" ht="408.75" customHeight="1" x14ac:dyDescent="0.65">
      <c r="A42" s="233" t="s">
        <v>64</v>
      </c>
      <c r="B42" s="237" t="s">
        <v>253</v>
      </c>
      <c r="C42" s="237" t="s">
        <v>27</v>
      </c>
      <c r="D42" s="234">
        <v>0</v>
      </c>
      <c r="E42" s="235">
        <v>1480.6</v>
      </c>
      <c r="F42" s="234">
        <v>0</v>
      </c>
      <c r="G42" s="234">
        <v>0</v>
      </c>
      <c r="H42" s="234">
        <v>0</v>
      </c>
      <c r="I42" s="234">
        <v>0</v>
      </c>
      <c r="J42" s="234">
        <v>0</v>
      </c>
      <c r="K42" s="234">
        <v>1480.6</v>
      </c>
      <c r="L42" s="234">
        <v>0</v>
      </c>
      <c r="M42" s="234">
        <v>0</v>
      </c>
      <c r="N42" s="234">
        <v>0</v>
      </c>
      <c r="O42" s="234">
        <v>0</v>
      </c>
      <c r="P42" s="234">
        <v>1355.9</v>
      </c>
      <c r="Q42" s="234">
        <v>0</v>
      </c>
      <c r="R42" s="234">
        <v>0</v>
      </c>
      <c r="S42" s="234">
        <v>0</v>
      </c>
      <c r="T42" s="234">
        <v>1355.9</v>
      </c>
      <c r="U42" s="260" t="s">
        <v>434</v>
      </c>
      <c r="V42" s="238"/>
      <c r="W42" s="239" t="s">
        <v>31</v>
      </c>
      <c r="X42" s="239">
        <v>6</v>
      </c>
      <c r="Y42" s="239">
        <v>4</v>
      </c>
      <c r="Z42" s="238" t="s">
        <v>373</v>
      </c>
      <c r="AA42" s="237" t="s">
        <v>431</v>
      </c>
      <c r="AB42" s="181">
        <f>P42-K42</f>
        <v>-124.69999999999982</v>
      </c>
      <c r="AC42" s="103">
        <f t="shared" si="1"/>
        <v>-124.69999999999982</v>
      </c>
      <c r="AD42" s="19"/>
      <c r="AE42" s="2"/>
      <c r="AJ42" s="112">
        <f>P42-K42</f>
        <v>-124.69999999999982</v>
      </c>
      <c r="AN42" s="94" t="s">
        <v>285</v>
      </c>
    </row>
    <row r="43" spans="1:40" ht="54" customHeight="1" x14ac:dyDescent="0.65">
      <c r="A43" s="233"/>
      <c r="B43" s="237"/>
      <c r="C43" s="237"/>
      <c r="D43" s="234"/>
      <c r="E43" s="235"/>
      <c r="F43" s="234"/>
      <c r="G43" s="234"/>
      <c r="H43" s="234"/>
      <c r="I43" s="234"/>
      <c r="J43" s="234"/>
      <c r="K43" s="234"/>
      <c r="L43" s="234"/>
      <c r="M43" s="234"/>
      <c r="N43" s="234"/>
      <c r="O43" s="234"/>
      <c r="P43" s="234"/>
      <c r="Q43" s="234"/>
      <c r="R43" s="234"/>
      <c r="S43" s="234"/>
      <c r="T43" s="234"/>
      <c r="U43" s="260"/>
      <c r="V43" s="238"/>
      <c r="W43" s="239"/>
      <c r="X43" s="239"/>
      <c r="Y43" s="239"/>
      <c r="Z43" s="238"/>
      <c r="AA43" s="237"/>
      <c r="AB43" s="179"/>
      <c r="AC43" s="103">
        <f t="shared" si="1"/>
        <v>0</v>
      </c>
      <c r="AD43" s="19"/>
      <c r="AE43" s="2"/>
      <c r="AJ43" s="112"/>
    </row>
    <row r="44" spans="1:40" ht="408.75" customHeight="1" x14ac:dyDescent="0.65">
      <c r="A44" s="233" t="s">
        <v>65</v>
      </c>
      <c r="B44" s="237" t="s">
        <v>341</v>
      </c>
      <c r="C44" s="237" t="s">
        <v>27</v>
      </c>
      <c r="D44" s="234">
        <v>0</v>
      </c>
      <c r="E44" s="235">
        <v>17539.2</v>
      </c>
      <c r="F44" s="234">
        <v>0</v>
      </c>
      <c r="G44" s="234">
        <v>0</v>
      </c>
      <c r="H44" s="234">
        <v>0</v>
      </c>
      <c r="I44" s="234">
        <v>0</v>
      </c>
      <c r="J44" s="234">
        <v>0</v>
      </c>
      <c r="K44" s="234">
        <v>17539.2</v>
      </c>
      <c r="L44" s="234">
        <v>0</v>
      </c>
      <c r="M44" s="234">
        <v>0</v>
      </c>
      <c r="N44" s="234">
        <v>0</v>
      </c>
      <c r="O44" s="234">
        <v>0</v>
      </c>
      <c r="P44" s="234">
        <v>17158.7</v>
      </c>
      <c r="Q44" s="234">
        <v>0</v>
      </c>
      <c r="R44" s="234">
        <v>0</v>
      </c>
      <c r="S44" s="234">
        <v>0</v>
      </c>
      <c r="T44" s="234">
        <v>238.7</v>
      </c>
      <c r="U44" s="260" t="s">
        <v>572</v>
      </c>
      <c r="V44" s="238"/>
      <c r="W44" s="239" t="s">
        <v>31</v>
      </c>
      <c r="X44" s="239">
        <v>48</v>
      </c>
      <c r="Y44" s="239">
        <v>46</v>
      </c>
      <c r="Z44" s="238" t="s">
        <v>373</v>
      </c>
      <c r="AA44" s="250" t="s">
        <v>432</v>
      </c>
      <c r="AB44" s="187">
        <f>P44-K44</f>
        <v>-380.5</v>
      </c>
      <c r="AC44" s="103">
        <f t="shared" si="1"/>
        <v>-380.5</v>
      </c>
      <c r="AD44" s="19"/>
      <c r="AE44" s="2"/>
      <c r="AJ44" s="112">
        <f>P44-K44</f>
        <v>-380.5</v>
      </c>
      <c r="AN44" s="94" t="s">
        <v>284</v>
      </c>
    </row>
    <row r="45" spans="1:40" ht="86.25" customHeight="1" x14ac:dyDescent="0.65">
      <c r="A45" s="233"/>
      <c r="B45" s="237"/>
      <c r="C45" s="237"/>
      <c r="D45" s="234"/>
      <c r="E45" s="235"/>
      <c r="F45" s="234"/>
      <c r="G45" s="234"/>
      <c r="H45" s="234"/>
      <c r="I45" s="234"/>
      <c r="J45" s="234"/>
      <c r="K45" s="234"/>
      <c r="L45" s="234"/>
      <c r="M45" s="234"/>
      <c r="N45" s="234"/>
      <c r="O45" s="234"/>
      <c r="P45" s="234"/>
      <c r="Q45" s="234"/>
      <c r="R45" s="234"/>
      <c r="S45" s="234"/>
      <c r="T45" s="234"/>
      <c r="U45" s="260"/>
      <c r="V45" s="238"/>
      <c r="W45" s="239"/>
      <c r="X45" s="239"/>
      <c r="Y45" s="239"/>
      <c r="Z45" s="238"/>
      <c r="AA45" s="251"/>
      <c r="AB45" s="178"/>
      <c r="AC45" s="103"/>
      <c r="AD45" s="19"/>
      <c r="AE45" s="2"/>
      <c r="AJ45" s="112"/>
    </row>
    <row r="46" spans="1:40" ht="409.5" customHeight="1" x14ac:dyDescent="0.65">
      <c r="A46" s="75" t="s">
        <v>66</v>
      </c>
      <c r="B46" s="179" t="s">
        <v>314</v>
      </c>
      <c r="C46" s="179" t="s">
        <v>27</v>
      </c>
      <c r="D46" s="192">
        <v>0</v>
      </c>
      <c r="E46" s="197">
        <v>209.6</v>
      </c>
      <c r="F46" s="192">
        <v>0</v>
      </c>
      <c r="G46" s="192">
        <v>0</v>
      </c>
      <c r="H46" s="192">
        <v>0</v>
      </c>
      <c r="I46" s="192">
        <v>0</v>
      </c>
      <c r="J46" s="192">
        <v>0</v>
      </c>
      <c r="K46" s="192">
        <v>209.6</v>
      </c>
      <c r="L46" s="192">
        <v>0</v>
      </c>
      <c r="M46" s="192">
        <v>0</v>
      </c>
      <c r="N46" s="192">
        <v>0</v>
      </c>
      <c r="O46" s="192">
        <v>0</v>
      </c>
      <c r="P46" s="192">
        <v>188</v>
      </c>
      <c r="Q46" s="192">
        <v>0</v>
      </c>
      <c r="R46" s="192">
        <v>0</v>
      </c>
      <c r="S46" s="192">
        <v>0</v>
      </c>
      <c r="T46" s="192">
        <v>188</v>
      </c>
      <c r="U46" s="77" t="s">
        <v>509</v>
      </c>
      <c r="V46" s="18"/>
      <c r="W46" s="74" t="s">
        <v>31</v>
      </c>
      <c r="X46" s="180">
        <v>12</v>
      </c>
      <c r="Y46" s="180">
        <v>15</v>
      </c>
      <c r="Z46" s="182" t="s">
        <v>32</v>
      </c>
      <c r="AA46" s="181"/>
      <c r="AB46" s="181">
        <f>P46-K46</f>
        <v>-21.599999999999994</v>
      </c>
      <c r="AC46" s="103">
        <f t="shared" si="1"/>
        <v>-21.599999999999994</v>
      </c>
      <c r="AD46" s="19"/>
      <c r="AE46" s="2"/>
      <c r="AJ46" s="112">
        <f>P46-K46</f>
        <v>-21.599999999999994</v>
      </c>
      <c r="AN46" s="94" t="s">
        <v>285</v>
      </c>
    </row>
    <row r="47" spans="1:40" ht="409.6" customHeight="1" x14ac:dyDescent="0.65">
      <c r="A47" s="233" t="s">
        <v>67</v>
      </c>
      <c r="B47" s="237" t="s">
        <v>342</v>
      </c>
      <c r="C47" s="237" t="s">
        <v>27</v>
      </c>
      <c r="D47" s="234">
        <v>0</v>
      </c>
      <c r="E47" s="235">
        <v>46978.5</v>
      </c>
      <c r="F47" s="234">
        <v>0</v>
      </c>
      <c r="G47" s="234">
        <v>0</v>
      </c>
      <c r="H47" s="234">
        <v>0</v>
      </c>
      <c r="I47" s="234">
        <v>0</v>
      </c>
      <c r="J47" s="234">
        <v>0</v>
      </c>
      <c r="K47" s="234">
        <v>46978.5</v>
      </c>
      <c r="L47" s="234">
        <v>0</v>
      </c>
      <c r="M47" s="234">
        <v>0</v>
      </c>
      <c r="N47" s="234">
        <v>0</v>
      </c>
      <c r="O47" s="234">
        <v>0</v>
      </c>
      <c r="P47" s="234">
        <v>46065.8</v>
      </c>
      <c r="Q47" s="234">
        <v>0</v>
      </c>
      <c r="R47" s="234">
        <v>0</v>
      </c>
      <c r="S47" s="234">
        <v>0</v>
      </c>
      <c r="T47" s="234">
        <v>46065.8</v>
      </c>
      <c r="U47" s="260" t="s">
        <v>482</v>
      </c>
      <c r="V47" s="238"/>
      <c r="W47" s="238" t="s">
        <v>31</v>
      </c>
      <c r="X47" s="240">
        <v>1456</v>
      </c>
      <c r="Y47" s="240">
        <v>1459</v>
      </c>
      <c r="Z47" s="238" t="s">
        <v>32</v>
      </c>
      <c r="AA47" s="237"/>
      <c r="AB47" s="181">
        <f>P47-K47</f>
        <v>-912.69999999999709</v>
      </c>
      <c r="AC47" s="103">
        <f t="shared" si="1"/>
        <v>-912.69999999999709</v>
      </c>
      <c r="AD47" s="19"/>
      <c r="AE47" s="2"/>
      <c r="AJ47" s="234">
        <f>P47-K47</f>
        <v>-912.69999999999709</v>
      </c>
      <c r="AN47" s="94" t="s">
        <v>285</v>
      </c>
    </row>
    <row r="48" spans="1:40" ht="55.5" customHeight="1" x14ac:dyDescent="0.65">
      <c r="A48" s="233"/>
      <c r="B48" s="237"/>
      <c r="C48" s="237"/>
      <c r="D48" s="234"/>
      <c r="E48" s="235"/>
      <c r="F48" s="234"/>
      <c r="G48" s="234"/>
      <c r="H48" s="234"/>
      <c r="I48" s="234"/>
      <c r="J48" s="234"/>
      <c r="K48" s="234"/>
      <c r="L48" s="234"/>
      <c r="M48" s="234"/>
      <c r="N48" s="234"/>
      <c r="O48" s="234"/>
      <c r="P48" s="234"/>
      <c r="Q48" s="234"/>
      <c r="R48" s="234"/>
      <c r="S48" s="234"/>
      <c r="T48" s="234"/>
      <c r="U48" s="260"/>
      <c r="V48" s="238"/>
      <c r="W48" s="238"/>
      <c r="X48" s="240"/>
      <c r="Y48" s="240"/>
      <c r="Z48" s="238"/>
      <c r="AA48" s="237"/>
      <c r="AB48" s="179"/>
      <c r="AC48" s="103">
        <f t="shared" si="1"/>
        <v>0</v>
      </c>
      <c r="AD48" s="19"/>
      <c r="AE48" s="2"/>
      <c r="AJ48" s="234"/>
    </row>
    <row r="49" spans="1:40" ht="404.25" customHeight="1" x14ac:dyDescent="0.65">
      <c r="A49" s="238" t="s">
        <v>68</v>
      </c>
      <c r="B49" s="237" t="s">
        <v>315</v>
      </c>
      <c r="C49" s="237" t="s">
        <v>27</v>
      </c>
      <c r="D49" s="234">
        <v>0</v>
      </c>
      <c r="E49" s="235">
        <v>1326764.7</v>
      </c>
      <c r="F49" s="234">
        <v>0</v>
      </c>
      <c r="G49" s="234">
        <v>0</v>
      </c>
      <c r="H49" s="234">
        <v>0</v>
      </c>
      <c r="I49" s="234">
        <v>0</v>
      </c>
      <c r="J49" s="234">
        <v>0</v>
      </c>
      <c r="K49" s="234">
        <v>1326764.7</v>
      </c>
      <c r="L49" s="234">
        <v>0</v>
      </c>
      <c r="M49" s="234">
        <v>0</v>
      </c>
      <c r="N49" s="234">
        <v>0</v>
      </c>
      <c r="O49" s="234">
        <v>0</v>
      </c>
      <c r="P49" s="234">
        <v>1282761.5</v>
      </c>
      <c r="Q49" s="234">
        <v>0</v>
      </c>
      <c r="R49" s="234">
        <v>0</v>
      </c>
      <c r="S49" s="234">
        <v>0</v>
      </c>
      <c r="T49" s="234">
        <v>939362.5</v>
      </c>
      <c r="U49" s="237" t="s">
        <v>435</v>
      </c>
      <c r="V49" s="239"/>
      <c r="W49" s="238" t="s">
        <v>69</v>
      </c>
      <c r="X49" s="246">
        <v>397.8</v>
      </c>
      <c r="Y49" s="270">
        <v>389.7</v>
      </c>
      <c r="Z49" s="238" t="s">
        <v>373</v>
      </c>
      <c r="AA49" s="267" t="s">
        <v>440</v>
      </c>
      <c r="AB49" s="181">
        <f>P49-K49</f>
        <v>-44003.199999999953</v>
      </c>
      <c r="AC49" s="103">
        <f t="shared" si="1"/>
        <v>-44003.199999999953</v>
      </c>
      <c r="AD49" s="19"/>
      <c r="AE49" s="2"/>
      <c r="AJ49" s="234">
        <f>P49-K49</f>
        <v>-44003.199999999953</v>
      </c>
      <c r="AN49" s="94" t="s">
        <v>285</v>
      </c>
    </row>
    <row r="50" spans="1:40" ht="404.25" customHeight="1" x14ac:dyDescent="0.65">
      <c r="A50" s="238"/>
      <c r="B50" s="237"/>
      <c r="C50" s="237"/>
      <c r="D50" s="234"/>
      <c r="E50" s="235"/>
      <c r="F50" s="234"/>
      <c r="G50" s="234"/>
      <c r="H50" s="234"/>
      <c r="I50" s="234"/>
      <c r="J50" s="234"/>
      <c r="K50" s="234"/>
      <c r="L50" s="234"/>
      <c r="M50" s="234"/>
      <c r="N50" s="234"/>
      <c r="O50" s="234"/>
      <c r="P50" s="234"/>
      <c r="Q50" s="234"/>
      <c r="R50" s="234"/>
      <c r="S50" s="234"/>
      <c r="T50" s="234"/>
      <c r="U50" s="237"/>
      <c r="V50" s="239"/>
      <c r="W50" s="238"/>
      <c r="X50" s="246"/>
      <c r="Y50" s="270"/>
      <c r="Z50" s="238"/>
      <c r="AA50" s="268"/>
      <c r="AB50" s="181"/>
      <c r="AC50" s="103"/>
      <c r="AD50" s="19"/>
      <c r="AE50" s="2"/>
      <c r="AJ50" s="234"/>
    </row>
    <row r="51" spans="1:40" ht="409.6" customHeight="1" x14ac:dyDescent="0.65">
      <c r="A51" s="238"/>
      <c r="B51" s="237"/>
      <c r="C51" s="237"/>
      <c r="D51" s="234"/>
      <c r="E51" s="235"/>
      <c r="F51" s="234"/>
      <c r="G51" s="234"/>
      <c r="H51" s="234"/>
      <c r="I51" s="234"/>
      <c r="J51" s="234"/>
      <c r="K51" s="234"/>
      <c r="L51" s="234"/>
      <c r="M51" s="234"/>
      <c r="N51" s="234"/>
      <c r="O51" s="234"/>
      <c r="P51" s="234"/>
      <c r="Q51" s="234"/>
      <c r="R51" s="234"/>
      <c r="S51" s="234"/>
      <c r="T51" s="234"/>
      <c r="U51" s="237"/>
      <c r="V51" s="239"/>
      <c r="W51" s="238"/>
      <c r="X51" s="246"/>
      <c r="Y51" s="270"/>
      <c r="Z51" s="238"/>
      <c r="AA51" s="268"/>
      <c r="AB51" s="181"/>
      <c r="AC51" s="103"/>
      <c r="AD51" s="19"/>
      <c r="AE51" s="2"/>
      <c r="AJ51" s="234"/>
    </row>
    <row r="52" spans="1:40" ht="267" customHeight="1" x14ac:dyDescent="0.65">
      <c r="A52" s="238"/>
      <c r="B52" s="237"/>
      <c r="C52" s="237"/>
      <c r="D52" s="234"/>
      <c r="E52" s="235"/>
      <c r="F52" s="234"/>
      <c r="G52" s="234"/>
      <c r="H52" s="234"/>
      <c r="I52" s="234"/>
      <c r="J52" s="234"/>
      <c r="K52" s="234"/>
      <c r="L52" s="234"/>
      <c r="M52" s="234"/>
      <c r="N52" s="234"/>
      <c r="O52" s="234"/>
      <c r="P52" s="234"/>
      <c r="Q52" s="234"/>
      <c r="R52" s="234"/>
      <c r="S52" s="234"/>
      <c r="T52" s="234"/>
      <c r="U52" s="237"/>
      <c r="V52" s="239"/>
      <c r="W52" s="238"/>
      <c r="X52" s="246"/>
      <c r="Y52" s="270"/>
      <c r="Z52" s="238"/>
      <c r="AA52" s="269"/>
      <c r="AB52" s="181"/>
      <c r="AC52" s="103"/>
      <c r="AD52" s="19"/>
      <c r="AE52" s="2"/>
      <c r="AJ52" s="234"/>
    </row>
    <row r="53" spans="1:40" ht="409.6" customHeight="1" x14ac:dyDescent="0.65">
      <c r="A53" s="238" t="s">
        <v>70</v>
      </c>
      <c r="B53" s="237" t="s">
        <v>316</v>
      </c>
      <c r="C53" s="237" t="s">
        <v>27</v>
      </c>
      <c r="D53" s="234">
        <v>0</v>
      </c>
      <c r="E53" s="235">
        <v>12907</v>
      </c>
      <c r="F53" s="234">
        <v>0</v>
      </c>
      <c r="G53" s="234">
        <v>0</v>
      </c>
      <c r="H53" s="234">
        <v>0</v>
      </c>
      <c r="I53" s="234">
        <v>0</v>
      </c>
      <c r="J53" s="234">
        <v>0</v>
      </c>
      <c r="K53" s="234">
        <v>12907</v>
      </c>
      <c r="L53" s="234">
        <v>0</v>
      </c>
      <c r="M53" s="234">
        <v>0</v>
      </c>
      <c r="N53" s="234">
        <v>0</v>
      </c>
      <c r="O53" s="234">
        <v>0</v>
      </c>
      <c r="P53" s="234">
        <v>12906.9</v>
      </c>
      <c r="Q53" s="234">
        <v>0</v>
      </c>
      <c r="R53" s="234">
        <v>0</v>
      </c>
      <c r="S53" s="234">
        <v>0</v>
      </c>
      <c r="T53" s="234">
        <v>12906.9</v>
      </c>
      <c r="U53" s="237" t="s">
        <v>495</v>
      </c>
      <c r="V53" s="239"/>
      <c r="W53" s="238" t="s">
        <v>71</v>
      </c>
      <c r="X53" s="257">
        <v>25370</v>
      </c>
      <c r="Y53" s="240">
        <v>25370</v>
      </c>
      <c r="Z53" s="238" t="s">
        <v>32</v>
      </c>
      <c r="AA53" s="261"/>
      <c r="AB53" s="181">
        <f>P53-K53</f>
        <v>-0.1000000000003638</v>
      </c>
      <c r="AC53" s="103">
        <f t="shared" si="1"/>
        <v>-0.1000000000003638</v>
      </c>
      <c r="AD53" s="19"/>
      <c r="AE53" s="2"/>
      <c r="AJ53" s="234">
        <f>P53-K53</f>
        <v>-0.1000000000003638</v>
      </c>
      <c r="AN53" s="94" t="s">
        <v>285</v>
      </c>
    </row>
    <row r="54" spans="1:40" ht="59.25" customHeight="1" x14ac:dyDescent="0.65">
      <c r="A54" s="238"/>
      <c r="B54" s="237"/>
      <c r="C54" s="237"/>
      <c r="D54" s="234"/>
      <c r="E54" s="235"/>
      <c r="F54" s="234"/>
      <c r="G54" s="234"/>
      <c r="H54" s="234"/>
      <c r="I54" s="234"/>
      <c r="J54" s="234"/>
      <c r="K54" s="234"/>
      <c r="L54" s="234"/>
      <c r="M54" s="234"/>
      <c r="N54" s="234"/>
      <c r="O54" s="234"/>
      <c r="P54" s="234"/>
      <c r="Q54" s="234"/>
      <c r="R54" s="234"/>
      <c r="S54" s="234"/>
      <c r="T54" s="234"/>
      <c r="U54" s="237"/>
      <c r="V54" s="239"/>
      <c r="W54" s="238"/>
      <c r="X54" s="257"/>
      <c r="Y54" s="240"/>
      <c r="Z54" s="238"/>
      <c r="AA54" s="262"/>
      <c r="AB54" s="181"/>
      <c r="AC54" s="103"/>
      <c r="AD54" s="19"/>
      <c r="AE54" s="2"/>
      <c r="AJ54" s="234"/>
    </row>
    <row r="55" spans="1:40" ht="409.6" customHeight="1" x14ac:dyDescent="0.65">
      <c r="A55" s="182" t="s">
        <v>324</v>
      </c>
      <c r="B55" s="179" t="s">
        <v>323</v>
      </c>
      <c r="C55" s="179" t="s">
        <v>27</v>
      </c>
      <c r="D55" s="192">
        <v>0</v>
      </c>
      <c r="E55" s="197">
        <v>782336.4</v>
      </c>
      <c r="F55" s="197">
        <v>0</v>
      </c>
      <c r="G55" s="192">
        <v>0</v>
      </c>
      <c r="H55" s="192">
        <v>0</v>
      </c>
      <c r="I55" s="192">
        <v>0</v>
      </c>
      <c r="J55" s="192">
        <v>0</v>
      </c>
      <c r="K55" s="192">
        <v>782336.4</v>
      </c>
      <c r="L55" s="192">
        <v>0</v>
      </c>
      <c r="M55" s="192">
        <v>0</v>
      </c>
      <c r="N55" s="192">
        <v>0</v>
      </c>
      <c r="O55" s="192">
        <v>0</v>
      </c>
      <c r="P55" s="192">
        <v>752638.6</v>
      </c>
      <c r="Q55" s="192">
        <v>0</v>
      </c>
      <c r="R55" s="192">
        <v>0</v>
      </c>
      <c r="S55" s="192">
        <v>0</v>
      </c>
      <c r="T55" s="192">
        <v>752639.2</v>
      </c>
      <c r="U55" s="203" t="s">
        <v>573</v>
      </c>
      <c r="V55" s="180"/>
      <c r="W55" s="182" t="s">
        <v>31</v>
      </c>
      <c r="X55" s="183">
        <v>78000</v>
      </c>
      <c r="Y55" s="183">
        <v>85845</v>
      </c>
      <c r="Z55" s="182" t="s">
        <v>32</v>
      </c>
      <c r="AA55" s="181"/>
      <c r="AB55" s="181">
        <f>P55-K55</f>
        <v>-29697.800000000047</v>
      </c>
      <c r="AC55" s="103">
        <f t="shared" si="1"/>
        <v>-29697.800000000047</v>
      </c>
      <c r="AD55" s="19"/>
      <c r="AE55" s="2"/>
      <c r="AJ55" s="112">
        <f>P55-K55</f>
        <v>-29697.800000000047</v>
      </c>
      <c r="AN55" s="94" t="s">
        <v>284</v>
      </c>
    </row>
    <row r="56" spans="1:40" ht="409.6" customHeight="1" x14ac:dyDescent="0.65">
      <c r="A56" s="74" t="s">
        <v>471</v>
      </c>
      <c r="B56" s="179" t="s">
        <v>72</v>
      </c>
      <c r="C56" s="179" t="s">
        <v>27</v>
      </c>
      <c r="D56" s="192">
        <v>0</v>
      </c>
      <c r="E56" s="197">
        <v>137.6</v>
      </c>
      <c r="F56" s="197">
        <v>0</v>
      </c>
      <c r="G56" s="192">
        <v>0</v>
      </c>
      <c r="H56" s="192">
        <v>0</v>
      </c>
      <c r="I56" s="192">
        <v>0</v>
      </c>
      <c r="J56" s="192">
        <v>0</v>
      </c>
      <c r="K56" s="192">
        <v>137.6</v>
      </c>
      <c r="L56" s="192">
        <v>0</v>
      </c>
      <c r="M56" s="192">
        <v>0</v>
      </c>
      <c r="N56" s="192">
        <v>0</v>
      </c>
      <c r="O56" s="192">
        <v>0</v>
      </c>
      <c r="P56" s="192">
        <v>137.4</v>
      </c>
      <c r="Q56" s="192">
        <v>0</v>
      </c>
      <c r="R56" s="192">
        <v>0</v>
      </c>
      <c r="S56" s="192">
        <v>0</v>
      </c>
      <c r="T56" s="192">
        <v>1.9</v>
      </c>
      <c r="U56" s="77" t="s">
        <v>475</v>
      </c>
      <c r="V56" s="18"/>
      <c r="W56" s="74" t="s">
        <v>31</v>
      </c>
      <c r="X56" s="183">
        <v>136</v>
      </c>
      <c r="Y56" s="183">
        <v>136</v>
      </c>
      <c r="Z56" s="182" t="s">
        <v>32</v>
      </c>
      <c r="AA56" s="181"/>
      <c r="AB56" s="181">
        <f>P56-K56</f>
        <v>-0.19999999999998863</v>
      </c>
      <c r="AC56" s="103">
        <f t="shared" si="1"/>
        <v>-0.19999999999998863</v>
      </c>
      <c r="AD56" s="19"/>
      <c r="AE56" s="2"/>
      <c r="AJ56" s="112">
        <f>P56-K56</f>
        <v>-0.19999999999998863</v>
      </c>
      <c r="AN56" s="94" t="s">
        <v>284</v>
      </c>
    </row>
    <row r="57" spans="1:40" ht="409.5" customHeight="1" x14ac:dyDescent="0.65">
      <c r="A57" s="74" t="s">
        <v>278</v>
      </c>
      <c r="B57" s="179" t="s">
        <v>370</v>
      </c>
      <c r="C57" s="179" t="s">
        <v>27</v>
      </c>
      <c r="D57" s="192">
        <v>60049.5</v>
      </c>
      <c r="E57" s="197">
        <v>18537.2</v>
      </c>
      <c r="F57" s="197">
        <v>0</v>
      </c>
      <c r="G57" s="192">
        <v>0</v>
      </c>
      <c r="H57" s="192">
        <v>0</v>
      </c>
      <c r="I57" s="192">
        <v>60049.5</v>
      </c>
      <c r="J57" s="192">
        <v>0</v>
      </c>
      <c r="K57" s="192">
        <v>18537.2</v>
      </c>
      <c r="L57" s="192">
        <v>0</v>
      </c>
      <c r="M57" s="192">
        <v>0</v>
      </c>
      <c r="N57" s="192">
        <v>60049.5</v>
      </c>
      <c r="O57" s="192">
        <v>0</v>
      </c>
      <c r="P57" s="192">
        <v>8426</v>
      </c>
      <c r="Q57" s="192">
        <v>0</v>
      </c>
      <c r="R57" s="192">
        <v>0</v>
      </c>
      <c r="S57" s="192">
        <v>0</v>
      </c>
      <c r="T57" s="192">
        <v>60049.5</v>
      </c>
      <c r="U57" s="77" t="s">
        <v>587</v>
      </c>
      <c r="V57" s="18"/>
      <c r="W57" s="74" t="s">
        <v>31</v>
      </c>
      <c r="X57" s="183">
        <v>46</v>
      </c>
      <c r="Y57" s="183">
        <v>40</v>
      </c>
      <c r="Z57" s="182" t="s">
        <v>373</v>
      </c>
      <c r="AA57" s="179" t="s">
        <v>468</v>
      </c>
      <c r="AB57" s="186">
        <f>N57-K57-I57</f>
        <v>-18537.199999999997</v>
      </c>
      <c r="AC57" s="103">
        <f t="shared" si="1"/>
        <v>-10111.200000000001</v>
      </c>
      <c r="AD57" s="19"/>
      <c r="AE57" s="2"/>
      <c r="AJ57" s="112"/>
      <c r="AN57" s="94" t="s">
        <v>286</v>
      </c>
    </row>
    <row r="58" spans="1:40" ht="409.6" customHeight="1" x14ac:dyDescent="0.65">
      <c r="A58" s="198" t="s">
        <v>73</v>
      </c>
      <c r="B58" s="179" t="s">
        <v>317</v>
      </c>
      <c r="C58" s="179" t="s">
        <v>27</v>
      </c>
      <c r="D58" s="192">
        <v>56931.7</v>
      </c>
      <c r="E58" s="197">
        <v>0</v>
      </c>
      <c r="F58" s="197">
        <v>0</v>
      </c>
      <c r="G58" s="192">
        <v>0</v>
      </c>
      <c r="H58" s="192">
        <v>0</v>
      </c>
      <c r="I58" s="192">
        <v>56931.7</v>
      </c>
      <c r="J58" s="192">
        <v>0</v>
      </c>
      <c r="K58" s="192">
        <v>0</v>
      </c>
      <c r="L58" s="192">
        <v>0</v>
      </c>
      <c r="M58" s="192">
        <v>0</v>
      </c>
      <c r="N58" s="192">
        <v>56931.7</v>
      </c>
      <c r="O58" s="192">
        <v>0</v>
      </c>
      <c r="P58" s="192">
        <v>0</v>
      </c>
      <c r="Q58" s="192">
        <v>0</v>
      </c>
      <c r="R58" s="192">
        <v>0</v>
      </c>
      <c r="S58" s="192">
        <v>0</v>
      </c>
      <c r="T58" s="192">
        <v>56931.7</v>
      </c>
      <c r="U58" s="203"/>
      <c r="V58" s="180"/>
      <c r="W58" s="182" t="s">
        <v>31</v>
      </c>
      <c r="X58" s="183">
        <v>67</v>
      </c>
      <c r="Y58" s="183">
        <v>30</v>
      </c>
      <c r="Z58" s="182" t="s">
        <v>373</v>
      </c>
      <c r="AA58" s="179" t="s">
        <v>441</v>
      </c>
      <c r="AB58" s="182"/>
      <c r="AC58" s="103">
        <f>N58-I58</f>
        <v>0</v>
      </c>
      <c r="AD58" s="19"/>
      <c r="AE58" s="2"/>
      <c r="AJ58" s="112"/>
      <c r="AN58" s="94" t="s">
        <v>286</v>
      </c>
    </row>
    <row r="59" spans="1:40" ht="408.75" customHeight="1" x14ac:dyDescent="0.65">
      <c r="A59" s="198" t="s">
        <v>74</v>
      </c>
      <c r="B59" s="179" t="s">
        <v>318</v>
      </c>
      <c r="C59" s="78" t="s">
        <v>27</v>
      </c>
      <c r="D59" s="192">
        <v>36757</v>
      </c>
      <c r="E59" s="192">
        <v>0</v>
      </c>
      <c r="F59" s="192">
        <v>0</v>
      </c>
      <c r="G59" s="192">
        <v>0</v>
      </c>
      <c r="H59" s="192">
        <v>0</v>
      </c>
      <c r="I59" s="192">
        <v>36757</v>
      </c>
      <c r="J59" s="192">
        <v>0</v>
      </c>
      <c r="K59" s="192">
        <v>0</v>
      </c>
      <c r="L59" s="192">
        <v>0</v>
      </c>
      <c r="M59" s="192">
        <v>0</v>
      </c>
      <c r="N59" s="192">
        <v>36757</v>
      </c>
      <c r="O59" s="192">
        <v>0</v>
      </c>
      <c r="P59" s="192">
        <v>0</v>
      </c>
      <c r="Q59" s="192">
        <v>0</v>
      </c>
      <c r="R59" s="192">
        <v>0</v>
      </c>
      <c r="S59" s="192">
        <v>0</v>
      </c>
      <c r="T59" s="192">
        <v>36757</v>
      </c>
      <c r="U59" s="78"/>
      <c r="V59" s="198"/>
      <c r="W59" s="198" t="s">
        <v>75</v>
      </c>
      <c r="X59" s="198" t="s">
        <v>265</v>
      </c>
      <c r="Y59" s="198" t="s">
        <v>443</v>
      </c>
      <c r="Z59" s="182" t="s">
        <v>373</v>
      </c>
      <c r="AA59" s="181" t="s">
        <v>442</v>
      </c>
      <c r="AB59" s="186"/>
      <c r="AC59" s="103">
        <f>N59-I59</f>
        <v>0</v>
      </c>
      <c r="AD59" s="19"/>
      <c r="AE59" s="2"/>
      <c r="AJ59" s="112"/>
      <c r="AN59" s="94" t="s">
        <v>286</v>
      </c>
    </row>
    <row r="60" spans="1:40" ht="331.5" customHeight="1" x14ac:dyDescent="0.65">
      <c r="A60" s="198" t="s">
        <v>262</v>
      </c>
      <c r="B60" s="179" t="s">
        <v>263</v>
      </c>
      <c r="C60" s="78" t="s">
        <v>27</v>
      </c>
      <c r="D60" s="192">
        <v>0</v>
      </c>
      <c r="E60" s="192">
        <v>379967.1</v>
      </c>
      <c r="F60" s="192">
        <v>0</v>
      </c>
      <c r="G60" s="192">
        <v>0</v>
      </c>
      <c r="H60" s="192">
        <v>0</v>
      </c>
      <c r="I60" s="192">
        <v>0</v>
      </c>
      <c r="J60" s="192">
        <v>0</v>
      </c>
      <c r="K60" s="192">
        <v>379967.1</v>
      </c>
      <c r="L60" s="192">
        <v>0</v>
      </c>
      <c r="M60" s="192">
        <v>0</v>
      </c>
      <c r="N60" s="192">
        <v>0</v>
      </c>
      <c r="O60" s="192">
        <v>0</v>
      </c>
      <c r="P60" s="192">
        <v>339335.2</v>
      </c>
      <c r="Q60" s="192">
        <v>0</v>
      </c>
      <c r="R60" s="192">
        <v>0</v>
      </c>
      <c r="S60" s="192">
        <v>0</v>
      </c>
      <c r="T60" s="192">
        <v>5395.2</v>
      </c>
      <c r="U60" s="78" t="s">
        <v>496</v>
      </c>
      <c r="V60" s="198"/>
      <c r="W60" s="198" t="s">
        <v>31</v>
      </c>
      <c r="X60" s="198" t="s">
        <v>426</v>
      </c>
      <c r="Y60" s="198" t="s">
        <v>436</v>
      </c>
      <c r="Z60" s="198" t="s">
        <v>373</v>
      </c>
      <c r="AA60" s="78" t="s">
        <v>430</v>
      </c>
      <c r="AB60" s="186">
        <f>327736-454967.1</f>
        <v>-127231.09999999998</v>
      </c>
      <c r="AC60" s="103">
        <f t="shared" si="1"/>
        <v>-40631.899999999965</v>
      </c>
      <c r="AD60" s="19"/>
      <c r="AE60" s="2"/>
      <c r="AJ60" s="112">
        <f>P60-K60</f>
        <v>-40631.899999999965</v>
      </c>
      <c r="AN60" s="94" t="s">
        <v>287</v>
      </c>
    </row>
    <row r="61" spans="1:40" ht="110.25" customHeight="1" x14ac:dyDescent="0.65">
      <c r="A61" s="198" t="s">
        <v>76</v>
      </c>
      <c r="B61" s="11" t="s">
        <v>77</v>
      </c>
      <c r="C61" s="11"/>
      <c r="D61" s="86">
        <f>D62+D65+D71+D72+D74+D75+D76+D77+D73+D78</f>
        <v>0</v>
      </c>
      <c r="E61" s="86">
        <f>E62+E65+E71+E72+E74+E75+E76+E77+E73+E78</f>
        <v>11524034</v>
      </c>
      <c r="F61" s="86">
        <f>F62+F65+F71+F72+F74+F75+F76+F77+F73+F78</f>
        <v>0</v>
      </c>
      <c r="G61" s="86">
        <f>G62+G65+G71+G72+G74+G75+G76+G77+G73+G78</f>
        <v>0</v>
      </c>
      <c r="H61" s="86">
        <f>H62+H65+H71+H72+H74+H75+H76+H77+H73+H78</f>
        <v>0</v>
      </c>
      <c r="I61" s="86">
        <f>I62+I65+I71+I72+I74+I75+I76+I77+I73</f>
        <v>0</v>
      </c>
      <c r="J61" s="86">
        <f>J62+J65+J71+J72+J74+J75+J76+J77+J73</f>
        <v>0</v>
      </c>
      <c r="K61" s="86">
        <f>K62+K65+K71+K72+K74+K75+K76+K77+K73+K78</f>
        <v>11524034</v>
      </c>
      <c r="L61" s="86">
        <f>L62+L65+L71+L72+L74+L75+L76+L77+L73+L78</f>
        <v>0</v>
      </c>
      <c r="M61" s="86">
        <f>M62+M65+M71+M72+M74+M75+M76+M77+M73+M78</f>
        <v>0</v>
      </c>
      <c r="N61" s="86"/>
      <c r="O61" s="86">
        <f t="shared" ref="O61:T61" si="2">O62+O65+O71+O72+O74+O75+O76+O77+O73</f>
        <v>0</v>
      </c>
      <c r="P61" s="86">
        <f>P62+P65+P71+P72+P74+P75+P76+P77+P73</f>
        <v>11501390.899999999</v>
      </c>
      <c r="Q61" s="86">
        <f t="shared" si="2"/>
        <v>0</v>
      </c>
      <c r="R61" s="86">
        <f t="shared" si="2"/>
        <v>0</v>
      </c>
      <c r="S61" s="86">
        <f t="shared" si="2"/>
        <v>0</v>
      </c>
      <c r="T61" s="86">
        <f t="shared" si="2"/>
        <v>1702854.08</v>
      </c>
      <c r="U61" s="10" t="s">
        <v>23</v>
      </c>
      <c r="V61" s="10" t="s">
        <v>23</v>
      </c>
      <c r="W61" s="10" t="s">
        <v>23</v>
      </c>
      <c r="X61" s="10" t="s">
        <v>23</v>
      </c>
      <c r="Y61" s="10"/>
      <c r="Z61" s="10" t="s">
        <v>23</v>
      </c>
      <c r="AA61" s="24"/>
      <c r="AB61" s="24"/>
      <c r="AC61" s="103">
        <f t="shared" si="1"/>
        <v>-22643.10000000149</v>
      </c>
      <c r="AD61" s="104">
        <f>(N61+P61)/(I61+K61)*100</f>
        <v>99.803514116671295</v>
      </c>
      <c r="AE61" s="2"/>
      <c r="AH61" s="13" t="e">
        <f>N61/I61*100</f>
        <v>#DIV/0!</v>
      </c>
      <c r="AI61" s="13">
        <f>P61/K61*100</f>
        <v>99.803514116671295</v>
      </c>
      <c r="AJ61" s="234"/>
      <c r="AN61" s="95"/>
    </row>
    <row r="62" spans="1:40" ht="409.6" customHeight="1" x14ac:dyDescent="0.65">
      <c r="A62" s="198" t="s">
        <v>78</v>
      </c>
      <c r="B62" s="179" t="s">
        <v>79</v>
      </c>
      <c r="C62" s="179" t="s">
        <v>27</v>
      </c>
      <c r="D62" s="192">
        <v>0</v>
      </c>
      <c r="E62" s="197">
        <f>E63+E64</f>
        <v>21405.599999999999</v>
      </c>
      <c r="F62" s="192">
        <v>0</v>
      </c>
      <c r="G62" s="192">
        <v>0</v>
      </c>
      <c r="H62" s="192">
        <v>0</v>
      </c>
      <c r="I62" s="192">
        <v>0</v>
      </c>
      <c r="J62" s="192">
        <v>0</v>
      </c>
      <c r="K62" s="192">
        <f>K63+K64</f>
        <v>21405.599999999999</v>
      </c>
      <c r="L62" s="192">
        <v>0</v>
      </c>
      <c r="M62" s="192">
        <v>0</v>
      </c>
      <c r="N62" s="192"/>
      <c r="O62" s="192">
        <v>0</v>
      </c>
      <c r="P62" s="192">
        <f>P63+P64</f>
        <v>18231.199999999997</v>
      </c>
      <c r="Q62" s="192">
        <v>0</v>
      </c>
      <c r="R62" s="192">
        <v>0</v>
      </c>
      <c r="S62" s="192"/>
      <c r="T62" s="192">
        <f>T63+T64</f>
        <v>17846.400000000001</v>
      </c>
      <c r="U62" s="203" t="s">
        <v>584</v>
      </c>
      <c r="V62" s="180"/>
      <c r="W62" s="180" t="s">
        <v>31</v>
      </c>
      <c r="X62" s="183">
        <v>3520</v>
      </c>
      <c r="Y62" s="183">
        <v>5184</v>
      </c>
      <c r="Z62" s="182" t="s">
        <v>32</v>
      </c>
      <c r="AA62" s="179"/>
      <c r="AB62" s="179"/>
      <c r="AC62" s="103">
        <f t="shared" si="1"/>
        <v>-3174.4000000000015</v>
      </c>
      <c r="AD62" s="19"/>
      <c r="AE62" s="2"/>
      <c r="AJ62" s="234"/>
    </row>
    <row r="63" spans="1:40" s="130" customFormat="1" ht="288" customHeight="1" x14ac:dyDescent="0.65">
      <c r="A63" s="229" t="s">
        <v>25</v>
      </c>
      <c r="B63" s="179" t="s">
        <v>80</v>
      </c>
      <c r="C63" s="179" t="s">
        <v>27</v>
      </c>
      <c r="D63" s="192">
        <v>0</v>
      </c>
      <c r="E63" s="192">
        <v>10163.299999999999</v>
      </c>
      <c r="F63" s="192">
        <v>0</v>
      </c>
      <c r="G63" s="192">
        <v>0</v>
      </c>
      <c r="H63" s="192">
        <v>0</v>
      </c>
      <c r="I63" s="192">
        <v>0</v>
      </c>
      <c r="J63" s="192">
        <v>0</v>
      </c>
      <c r="K63" s="192">
        <f>9808.3+355</f>
        <v>10163.299999999999</v>
      </c>
      <c r="L63" s="192">
        <v>0</v>
      </c>
      <c r="M63" s="192">
        <v>0</v>
      </c>
      <c r="N63" s="192">
        <v>0</v>
      </c>
      <c r="O63" s="192">
        <v>0</v>
      </c>
      <c r="P63" s="192">
        <v>8587.4</v>
      </c>
      <c r="Q63" s="192">
        <v>0</v>
      </c>
      <c r="R63" s="192">
        <v>0</v>
      </c>
      <c r="S63" s="192">
        <v>0</v>
      </c>
      <c r="T63" s="192">
        <v>8594.7000000000007</v>
      </c>
      <c r="U63" s="203" t="s">
        <v>487</v>
      </c>
      <c r="V63" s="180" t="s">
        <v>23</v>
      </c>
      <c r="W63" s="180" t="s">
        <v>23</v>
      </c>
      <c r="X63" s="180">
        <v>1469</v>
      </c>
      <c r="Y63" s="180">
        <v>1810</v>
      </c>
      <c r="Z63" s="230" t="s">
        <v>32</v>
      </c>
      <c r="AA63" s="90"/>
      <c r="AB63" s="90">
        <f>P63-K63</f>
        <v>-1575.8999999999996</v>
      </c>
      <c r="AC63" s="103">
        <f t="shared" si="1"/>
        <v>-1575.8999999999996</v>
      </c>
      <c r="AD63" s="19"/>
      <c r="AE63" s="129"/>
      <c r="AJ63" s="131">
        <f>P63-K63</f>
        <v>-1575.8999999999996</v>
      </c>
      <c r="AN63" s="132"/>
    </row>
    <row r="64" spans="1:40" ht="285" customHeight="1" x14ac:dyDescent="0.65">
      <c r="A64" s="229" t="s">
        <v>81</v>
      </c>
      <c r="B64" s="179" t="s">
        <v>82</v>
      </c>
      <c r="C64" s="179" t="s">
        <v>27</v>
      </c>
      <c r="D64" s="192">
        <v>0</v>
      </c>
      <c r="E64" s="192">
        <v>11242.3</v>
      </c>
      <c r="F64" s="192">
        <v>0</v>
      </c>
      <c r="G64" s="192">
        <v>0</v>
      </c>
      <c r="H64" s="192">
        <v>0</v>
      </c>
      <c r="I64" s="192">
        <v>0</v>
      </c>
      <c r="J64" s="192">
        <v>0</v>
      </c>
      <c r="K64" s="192">
        <v>11242.3</v>
      </c>
      <c r="L64" s="192">
        <v>0</v>
      </c>
      <c r="M64" s="192">
        <v>0</v>
      </c>
      <c r="N64" s="192">
        <v>0</v>
      </c>
      <c r="O64" s="192">
        <v>0</v>
      </c>
      <c r="P64" s="192">
        <v>9643.7999999999993</v>
      </c>
      <c r="Q64" s="192">
        <v>0</v>
      </c>
      <c r="R64" s="192"/>
      <c r="S64" s="192">
        <v>0</v>
      </c>
      <c r="T64" s="192">
        <v>9251.7000000000007</v>
      </c>
      <c r="U64" s="203" t="s">
        <v>486</v>
      </c>
      <c r="V64" s="180" t="s">
        <v>23</v>
      </c>
      <c r="W64" s="180" t="s">
        <v>23</v>
      </c>
      <c r="X64" s="180">
        <v>2051</v>
      </c>
      <c r="Y64" s="180">
        <v>3374</v>
      </c>
      <c r="Z64" s="230" t="s">
        <v>32</v>
      </c>
      <c r="AA64" s="185"/>
      <c r="AB64" s="90">
        <f t="shared" ref="AB64:AB78" si="3">P64-K64</f>
        <v>-1598.5</v>
      </c>
      <c r="AC64" s="103">
        <f t="shared" si="1"/>
        <v>-1598.5</v>
      </c>
      <c r="AD64" s="19"/>
      <c r="AE64" s="2"/>
      <c r="AJ64" s="112">
        <f>P64-K64</f>
        <v>-1598.5</v>
      </c>
      <c r="AL64" s="79">
        <v>12919.7</v>
      </c>
    </row>
    <row r="65" spans="1:40" ht="288" customHeight="1" x14ac:dyDescent="0.65">
      <c r="A65" s="198" t="s">
        <v>83</v>
      </c>
      <c r="B65" s="179" t="s">
        <v>84</v>
      </c>
      <c r="C65" s="179" t="s">
        <v>27</v>
      </c>
      <c r="D65" s="192">
        <v>0</v>
      </c>
      <c r="E65" s="192">
        <v>11461526.1</v>
      </c>
      <c r="F65" s="192">
        <v>0</v>
      </c>
      <c r="G65" s="192">
        <v>0</v>
      </c>
      <c r="H65" s="192">
        <v>0</v>
      </c>
      <c r="I65" s="192">
        <v>0</v>
      </c>
      <c r="J65" s="192">
        <v>0</v>
      </c>
      <c r="K65" s="192">
        <f>K66+K67</f>
        <v>11461526.1</v>
      </c>
      <c r="L65" s="192">
        <v>0</v>
      </c>
      <c r="M65" s="192">
        <v>0</v>
      </c>
      <c r="N65" s="192">
        <v>0</v>
      </c>
      <c r="O65" s="192">
        <v>0</v>
      </c>
      <c r="P65" s="192">
        <f>P66+P67</f>
        <v>11455225</v>
      </c>
      <c r="Q65" s="192">
        <v>0</v>
      </c>
      <c r="R65" s="192">
        <v>0</v>
      </c>
      <c r="S65" s="192">
        <v>0</v>
      </c>
      <c r="T65" s="192">
        <f>T66+T68+T69+T70</f>
        <v>1663666.9800000002</v>
      </c>
      <c r="U65" s="76" t="s">
        <v>585</v>
      </c>
      <c r="V65" s="180" t="s">
        <v>23</v>
      </c>
      <c r="W65" s="180" t="s">
        <v>23</v>
      </c>
      <c r="X65" s="180" t="s">
        <v>23</v>
      </c>
      <c r="Y65" s="194"/>
      <c r="Z65" s="180" t="s">
        <v>23</v>
      </c>
      <c r="AA65" s="179"/>
      <c r="AB65" s="90">
        <f t="shared" si="3"/>
        <v>-6301.0999999996275</v>
      </c>
      <c r="AC65" s="103">
        <f t="shared" si="1"/>
        <v>-6301.0999999996275</v>
      </c>
      <c r="AD65" s="19"/>
      <c r="AE65" s="2"/>
      <c r="AJ65" s="112">
        <f>P65-K65</f>
        <v>-6301.0999999996275</v>
      </c>
      <c r="AN65" s="96"/>
    </row>
    <row r="66" spans="1:40" ht="409.6" customHeight="1" x14ac:dyDescent="0.65">
      <c r="A66" s="75" t="s">
        <v>85</v>
      </c>
      <c r="B66" s="179" t="s">
        <v>86</v>
      </c>
      <c r="C66" s="179" t="s">
        <v>27</v>
      </c>
      <c r="D66" s="192">
        <v>0</v>
      </c>
      <c r="E66" s="192">
        <v>803636.5</v>
      </c>
      <c r="F66" s="192">
        <v>0</v>
      </c>
      <c r="G66" s="192">
        <v>0</v>
      </c>
      <c r="H66" s="192">
        <v>0</v>
      </c>
      <c r="I66" s="192">
        <v>0</v>
      </c>
      <c r="J66" s="192">
        <v>0</v>
      </c>
      <c r="K66" s="192">
        <v>803636.5</v>
      </c>
      <c r="L66" s="192">
        <v>0</v>
      </c>
      <c r="M66" s="192">
        <v>0</v>
      </c>
      <c r="N66" s="192"/>
      <c r="O66" s="192">
        <v>0</v>
      </c>
      <c r="P66" s="192">
        <v>799181.1</v>
      </c>
      <c r="Q66" s="192">
        <v>0</v>
      </c>
      <c r="R66" s="192">
        <v>0</v>
      </c>
      <c r="S66" s="192">
        <v>0</v>
      </c>
      <c r="T66" s="192">
        <v>63088.800000000003</v>
      </c>
      <c r="U66" s="76" t="s">
        <v>582</v>
      </c>
      <c r="V66" s="18"/>
      <c r="W66" s="74" t="s">
        <v>87</v>
      </c>
      <c r="X66" s="180">
        <v>50</v>
      </c>
      <c r="Y66" s="180">
        <v>50</v>
      </c>
      <c r="Z66" s="182" t="s">
        <v>32</v>
      </c>
      <c r="AA66" s="179"/>
      <c r="AB66" s="90">
        <f t="shared" si="3"/>
        <v>-4455.4000000000233</v>
      </c>
      <c r="AC66" s="103">
        <f t="shared" si="1"/>
        <v>-4455.4000000000233</v>
      </c>
      <c r="AD66" s="19"/>
      <c r="AE66" s="2"/>
      <c r="AJ66" s="112">
        <f>P66-K66</f>
        <v>-4455.4000000000233</v>
      </c>
    </row>
    <row r="67" spans="1:40" ht="246.75" x14ac:dyDescent="0.65">
      <c r="A67" s="198" t="s">
        <v>88</v>
      </c>
      <c r="B67" s="179" t="s">
        <v>89</v>
      </c>
      <c r="C67" s="179" t="s">
        <v>27</v>
      </c>
      <c r="D67" s="192">
        <v>0</v>
      </c>
      <c r="E67" s="197">
        <v>10657889.6</v>
      </c>
      <c r="F67" s="197">
        <v>0</v>
      </c>
      <c r="G67" s="192">
        <v>0</v>
      </c>
      <c r="H67" s="192">
        <v>0</v>
      </c>
      <c r="I67" s="192">
        <v>0</v>
      </c>
      <c r="J67" s="192">
        <v>0</v>
      </c>
      <c r="K67" s="192">
        <f>K68+K69+K70</f>
        <v>10657889.6</v>
      </c>
      <c r="L67" s="192">
        <v>0</v>
      </c>
      <c r="M67" s="192">
        <v>0</v>
      </c>
      <c r="N67" s="192"/>
      <c r="O67" s="192">
        <v>0</v>
      </c>
      <c r="P67" s="192">
        <f>P68+P69+P70</f>
        <v>10656043.9</v>
      </c>
      <c r="Q67" s="192">
        <v>0</v>
      </c>
      <c r="R67" s="192">
        <v>0</v>
      </c>
      <c r="S67" s="192">
        <v>0</v>
      </c>
      <c r="T67" s="192">
        <f>T68+T69+T70</f>
        <v>1600578.1800000002</v>
      </c>
      <c r="U67" s="76" t="s">
        <v>485</v>
      </c>
      <c r="V67" s="180" t="s">
        <v>23</v>
      </c>
      <c r="W67" s="180" t="s">
        <v>23</v>
      </c>
      <c r="X67" s="180" t="s">
        <v>23</v>
      </c>
      <c r="Y67" s="180"/>
      <c r="Z67" s="180" t="s">
        <v>23</v>
      </c>
      <c r="AA67" s="185"/>
      <c r="AB67" s="90">
        <f t="shared" si="3"/>
        <v>-1845.6999999992549</v>
      </c>
      <c r="AC67" s="103">
        <f t="shared" si="1"/>
        <v>-1845.6999999992549</v>
      </c>
      <c r="AD67" s="19"/>
      <c r="AE67" s="2"/>
      <c r="AJ67" s="112"/>
    </row>
    <row r="68" spans="1:40" ht="358.5" customHeight="1" x14ac:dyDescent="0.65">
      <c r="A68" s="198" t="s">
        <v>90</v>
      </c>
      <c r="B68" s="179" t="s">
        <v>91</v>
      </c>
      <c r="C68" s="179" t="s">
        <v>27</v>
      </c>
      <c r="D68" s="192">
        <v>0</v>
      </c>
      <c r="E68" s="197">
        <v>10563157.300000001</v>
      </c>
      <c r="F68" s="197">
        <v>0</v>
      </c>
      <c r="G68" s="192">
        <v>0</v>
      </c>
      <c r="H68" s="192">
        <v>0</v>
      </c>
      <c r="I68" s="192">
        <v>0</v>
      </c>
      <c r="J68" s="192">
        <v>0</v>
      </c>
      <c r="K68" s="192">
        <v>10563157.300000001</v>
      </c>
      <c r="L68" s="192">
        <v>0</v>
      </c>
      <c r="M68" s="192">
        <v>0</v>
      </c>
      <c r="N68" s="192"/>
      <c r="O68" s="192">
        <v>0</v>
      </c>
      <c r="P68" s="192">
        <v>10563157.300000001</v>
      </c>
      <c r="Q68" s="192">
        <v>0</v>
      </c>
      <c r="R68" s="192">
        <v>0</v>
      </c>
      <c r="S68" s="192">
        <v>0</v>
      </c>
      <c r="T68" s="192">
        <v>1522608.57</v>
      </c>
      <c r="U68" s="201"/>
      <c r="V68" s="180"/>
      <c r="W68" s="182" t="s">
        <v>31</v>
      </c>
      <c r="X68" s="195">
        <v>178132</v>
      </c>
      <c r="Y68" s="195">
        <v>173123</v>
      </c>
      <c r="Z68" s="182" t="s">
        <v>373</v>
      </c>
      <c r="AA68" s="179" t="s">
        <v>427</v>
      </c>
      <c r="AB68" s="90">
        <f t="shared" si="3"/>
        <v>0</v>
      </c>
      <c r="AC68" s="103">
        <f t="shared" si="1"/>
        <v>0</v>
      </c>
      <c r="AD68" s="19"/>
      <c r="AE68" s="2"/>
      <c r="AH68" s="12">
        <f>P68/K68*100</f>
        <v>100</v>
      </c>
      <c r="AJ68" s="112">
        <f>P68-K68</f>
        <v>0</v>
      </c>
    </row>
    <row r="69" spans="1:40" ht="349.5" customHeight="1" x14ac:dyDescent="0.65">
      <c r="A69" s="198" t="s">
        <v>92</v>
      </c>
      <c r="B69" s="179" t="s">
        <v>93</v>
      </c>
      <c r="C69" s="179" t="s">
        <v>27</v>
      </c>
      <c r="D69" s="192">
        <v>0</v>
      </c>
      <c r="E69" s="192">
        <v>71984.100000000006</v>
      </c>
      <c r="F69" s="192">
        <v>0</v>
      </c>
      <c r="G69" s="192">
        <v>0</v>
      </c>
      <c r="H69" s="192">
        <v>0</v>
      </c>
      <c r="I69" s="192">
        <v>0</v>
      </c>
      <c r="J69" s="192">
        <v>0</v>
      </c>
      <c r="K69" s="192">
        <v>71984.100000000006</v>
      </c>
      <c r="L69" s="192">
        <v>0</v>
      </c>
      <c r="M69" s="192">
        <v>0</v>
      </c>
      <c r="N69" s="192"/>
      <c r="O69" s="192">
        <v>0</v>
      </c>
      <c r="P69" s="192">
        <v>71984</v>
      </c>
      <c r="Q69" s="192">
        <v>0</v>
      </c>
      <c r="R69" s="192">
        <v>0</v>
      </c>
      <c r="S69" s="192">
        <v>0</v>
      </c>
      <c r="T69" s="192">
        <v>70921.509999999995</v>
      </c>
      <c r="U69" s="201" t="s">
        <v>483</v>
      </c>
      <c r="V69" s="180"/>
      <c r="W69" s="182" t="s">
        <v>87</v>
      </c>
      <c r="X69" s="180">
        <v>40</v>
      </c>
      <c r="Y69" s="180">
        <v>40</v>
      </c>
      <c r="Z69" s="182" t="s">
        <v>32</v>
      </c>
      <c r="AA69" s="179"/>
      <c r="AB69" s="90">
        <f t="shared" si="3"/>
        <v>-0.10000000000582077</v>
      </c>
      <c r="AC69" s="103">
        <f t="shared" si="1"/>
        <v>-0.10000000000582077</v>
      </c>
      <c r="AD69" s="19"/>
      <c r="AE69" s="2"/>
      <c r="AJ69" s="112">
        <f t="shared" ref="AJ69:AJ70" si="4">P69-K69</f>
        <v>-0.10000000000582077</v>
      </c>
    </row>
    <row r="70" spans="1:40" ht="408.75" customHeight="1" x14ac:dyDescent="0.65">
      <c r="A70" s="75" t="s">
        <v>94</v>
      </c>
      <c r="B70" s="179" t="s">
        <v>371</v>
      </c>
      <c r="C70" s="179" t="s">
        <v>27</v>
      </c>
      <c r="D70" s="192">
        <v>0</v>
      </c>
      <c r="E70" s="192">
        <v>22748.2</v>
      </c>
      <c r="F70" s="192">
        <v>0</v>
      </c>
      <c r="G70" s="192">
        <v>0</v>
      </c>
      <c r="H70" s="192">
        <v>0</v>
      </c>
      <c r="I70" s="192">
        <v>0</v>
      </c>
      <c r="J70" s="192">
        <v>0</v>
      </c>
      <c r="K70" s="192">
        <v>22748.2</v>
      </c>
      <c r="L70" s="192">
        <v>0</v>
      </c>
      <c r="M70" s="192">
        <v>0</v>
      </c>
      <c r="N70" s="192">
        <v>0</v>
      </c>
      <c r="O70" s="192">
        <v>0</v>
      </c>
      <c r="P70" s="192">
        <v>20902.599999999999</v>
      </c>
      <c r="Q70" s="192">
        <v>0</v>
      </c>
      <c r="R70" s="192">
        <v>0</v>
      </c>
      <c r="S70" s="192">
        <v>0</v>
      </c>
      <c r="T70" s="192">
        <v>7048.1</v>
      </c>
      <c r="U70" s="201" t="s">
        <v>484</v>
      </c>
      <c r="V70" s="74"/>
      <c r="W70" s="18" t="s">
        <v>31</v>
      </c>
      <c r="X70" s="183">
        <v>9646</v>
      </c>
      <c r="Y70" s="183">
        <v>9676</v>
      </c>
      <c r="Z70" s="182" t="s">
        <v>32</v>
      </c>
      <c r="AA70" s="179"/>
      <c r="AB70" s="90">
        <f t="shared" si="3"/>
        <v>-1845.6000000000022</v>
      </c>
      <c r="AC70" s="103">
        <f t="shared" si="1"/>
        <v>-1845.6000000000022</v>
      </c>
      <c r="AD70" s="19"/>
      <c r="AE70" s="2"/>
      <c r="AJ70" s="112">
        <f t="shared" si="4"/>
        <v>-1845.6000000000022</v>
      </c>
    </row>
    <row r="71" spans="1:40" ht="408.75" customHeight="1" x14ac:dyDescent="0.65">
      <c r="A71" s="198" t="s">
        <v>45</v>
      </c>
      <c r="B71" s="179" t="s">
        <v>95</v>
      </c>
      <c r="C71" s="179" t="s">
        <v>27</v>
      </c>
      <c r="D71" s="192">
        <v>0</v>
      </c>
      <c r="E71" s="192">
        <v>1633.6</v>
      </c>
      <c r="F71" s="192">
        <v>0</v>
      </c>
      <c r="G71" s="192">
        <v>0</v>
      </c>
      <c r="H71" s="192">
        <v>0</v>
      </c>
      <c r="I71" s="192">
        <v>0</v>
      </c>
      <c r="J71" s="192">
        <v>0</v>
      </c>
      <c r="K71" s="192">
        <v>1633.6</v>
      </c>
      <c r="L71" s="192">
        <v>0</v>
      </c>
      <c r="M71" s="192">
        <v>0</v>
      </c>
      <c r="N71" s="192">
        <v>0</v>
      </c>
      <c r="O71" s="192">
        <v>0</v>
      </c>
      <c r="P71" s="192">
        <v>1633.6</v>
      </c>
      <c r="Q71" s="192">
        <v>0</v>
      </c>
      <c r="R71" s="192">
        <v>0</v>
      </c>
      <c r="S71" s="192">
        <v>0</v>
      </c>
      <c r="T71" s="192">
        <v>1202.7</v>
      </c>
      <c r="U71" s="203"/>
      <c r="V71" s="182"/>
      <c r="W71" s="182" t="s">
        <v>87</v>
      </c>
      <c r="X71" s="180">
        <v>6</v>
      </c>
      <c r="Y71" s="180">
        <v>6</v>
      </c>
      <c r="Z71" s="182" t="s">
        <v>32</v>
      </c>
      <c r="AA71" s="187"/>
      <c r="AB71" s="90">
        <f t="shared" si="3"/>
        <v>0</v>
      </c>
      <c r="AC71" s="103">
        <f t="shared" si="1"/>
        <v>0</v>
      </c>
      <c r="AD71" s="19"/>
      <c r="AE71" s="2"/>
      <c r="AJ71" s="143">
        <f>P71-K71</f>
        <v>0</v>
      </c>
      <c r="AN71" s="94" t="s">
        <v>288</v>
      </c>
    </row>
    <row r="72" spans="1:40" ht="366" customHeight="1" x14ac:dyDescent="0.65">
      <c r="A72" s="74" t="s">
        <v>47</v>
      </c>
      <c r="B72" s="179" t="s">
        <v>96</v>
      </c>
      <c r="C72" s="179" t="s">
        <v>27</v>
      </c>
      <c r="D72" s="192">
        <v>0</v>
      </c>
      <c r="E72" s="192">
        <v>3462.9</v>
      </c>
      <c r="F72" s="192">
        <v>0</v>
      </c>
      <c r="G72" s="192">
        <v>0</v>
      </c>
      <c r="H72" s="192">
        <v>0</v>
      </c>
      <c r="I72" s="192">
        <v>0</v>
      </c>
      <c r="J72" s="192">
        <v>0</v>
      </c>
      <c r="K72" s="192">
        <v>3462.9</v>
      </c>
      <c r="L72" s="192">
        <v>0</v>
      </c>
      <c r="M72" s="192">
        <v>0</v>
      </c>
      <c r="N72" s="192">
        <v>0</v>
      </c>
      <c r="O72" s="192">
        <v>0</v>
      </c>
      <c r="P72" s="192">
        <v>3462.9</v>
      </c>
      <c r="Q72" s="192">
        <v>0</v>
      </c>
      <c r="R72" s="192">
        <v>0</v>
      </c>
      <c r="S72" s="192">
        <v>0</v>
      </c>
      <c r="T72" s="192">
        <v>2687.46</v>
      </c>
      <c r="U72" s="74"/>
      <c r="V72" s="74"/>
      <c r="W72" s="74" t="s">
        <v>97</v>
      </c>
      <c r="X72" s="180">
        <v>3</v>
      </c>
      <c r="Y72" s="180">
        <v>3</v>
      </c>
      <c r="Z72" s="182" t="s">
        <v>32</v>
      </c>
      <c r="AA72" s="179"/>
      <c r="AB72" s="90">
        <f t="shared" si="3"/>
        <v>0</v>
      </c>
      <c r="AC72" s="103">
        <f t="shared" si="1"/>
        <v>0</v>
      </c>
      <c r="AD72" s="19"/>
      <c r="AE72" s="22"/>
      <c r="AJ72" s="112"/>
      <c r="AN72" s="94" t="s">
        <v>289</v>
      </c>
    </row>
    <row r="73" spans="1:40" ht="288" customHeight="1" x14ac:dyDescent="0.65">
      <c r="A73" s="74" t="s">
        <v>98</v>
      </c>
      <c r="B73" s="179" t="s">
        <v>233</v>
      </c>
      <c r="C73" s="179" t="s">
        <v>27</v>
      </c>
      <c r="D73" s="192">
        <v>0</v>
      </c>
      <c r="E73" s="192">
        <v>1260</v>
      </c>
      <c r="F73" s="192">
        <v>0</v>
      </c>
      <c r="G73" s="192">
        <v>0</v>
      </c>
      <c r="H73" s="192">
        <v>0</v>
      </c>
      <c r="I73" s="192">
        <v>0</v>
      </c>
      <c r="J73" s="192">
        <v>0</v>
      </c>
      <c r="K73" s="192">
        <v>1260</v>
      </c>
      <c r="L73" s="192">
        <v>0</v>
      </c>
      <c r="M73" s="192">
        <v>0</v>
      </c>
      <c r="N73" s="192">
        <v>0</v>
      </c>
      <c r="O73" s="192">
        <v>0</v>
      </c>
      <c r="P73" s="192">
        <v>1260</v>
      </c>
      <c r="Q73" s="192">
        <v>0</v>
      </c>
      <c r="R73" s="192">
        <v>0</v>
      </c>
      <c r="S73" s="192">
        <v>0</v>
      </c>
      <c r="T73" s="192">
        <v>1004.18</v>
      </c>
      <c r="U73" s="74"/>
      <c r="V73" s="74"/>
      <c r="W73" s="74" t="s">
        <v>99</v>
      </c>
      <c r="X73" s="180">
        <v>25</v>
      </c>
      <c r="Y73" s="180">
        <v>25</v>
      </c>
      <c r="Z73" s="182" t="s">
        <v>32</v>
      </c>
      <c r="AA73" s="179"/>
      <c r="AB73" s="90">
        <f t="shared" si="3"/>
        <v>0</v>
      </c>
      <c r="AC73" s="103">
        <f t="shared" si="1"/>
        <v>0</v>
      </c>
      <c r="AD73" s="19"/>
      <c r="AE73" s="2"/>
      <c r="AJ73" s="112"/>
      <c r="AN73" s="94" t="s">
        <v>289</v>
      </c>
    </row>
    <row r="74" spans="1:40" ht="294" customHeight="1" x14ac:dyDescent="0.65">
      <c r="A74" s="75" t="s">
        <v>100</v>
      </c>
      <c r="B74" s="179" t="s">
        <v>101</v>
      </c>
      <c r="C74" s="179" t="s">
        <v>27</v>
      </c>
      <c r="D74" s="192">
        <v>0</v>
      </c>
      <c r="E74" s="192">
        <v>700</v>
      </c>
      <c r="F74" s="192">
        <v>0</v>
      </c>
      <c r="G74" s="192">
        <v>0</v>
      </c>
      <c r="H74" s="192">
        <v>0</v>
      </c>
      <c r="I74" s="192">
        <v>0</v>
      </c>
      <c r="J74" s="192">
        <v>0</v>
      </c>
      <c r="K74" s="192">
        <v>700</v>
      </c>
      <c r="L74" s="192">
        <v>0</v>
      </c>
      <c r="M74" s="192">
        <v>0</v>
      </c>
      <c r="N74" s="192">
        <v>0</v>
      </c>
      <c r="O74" s="192">
        <v>0</v>
      </c>
      <c r="P74" s="192">
        <v>700</v>
      </c>
      <c r="Q74" s="192">
        <v>0</v>
      </c>
      <c r="R74" s="192">
        <v>0</v>
      </c>
      <c r="S74" s="192">
        <v>0</v>
      </c>
      <c r="T74" s="192">
        <v>686</v>
      </c>
      <c r="U74" s="77"/>
      <c r="V74" s="18"/>
      <c r="W74" s="74" t="s">
        <v>31</v>
      </c>
      <c r="X74" s="183">
        <v>1020</v>
      </c>
      <c r="Y74" s="180">
        <v>1020</v>
      </c>
      <c r="Z74" s="182" t="s">
        <v>32</v>
      </c>
      <c r="AA74" s="179"/>
      <c r="AB74" s="90">
        <f t="shared" si="3"/>
        <v>0</v>
      </c>
      <c r="AC74" s="103">
        <f t="shared" si="1"/>
        <v>0</v>
      </c>
      <c r="AD74" s="19"/>
      <c r="AE74" s="2"/>
      <c r="AJ74" s="112"/>
      <c r="AN74" s="94" t="s">
        <v>289</v>
      </c>
    </row>
    <row r="75" spans="1:40" ht="409.6" customHeight="1" x14ac:dyDescent="0.65">
      <c r="A75" s="198" t="s">
        <v>102</v>
      </c>
      <c r="B75" s="213" t="s">
        <v>103</v>
      </c>
      <c r="C75" s="179" t="s">
        <v>27</v>
      </c>
      <c r="D75" s="192">
        <v>0</v>
      </c>
      <c r="E75" s="192">
        <v>15832.4</v>
      </c>
      <c r="F75" s="192">
        <v>0</v>
      </c>
      <c r="G75" s="192">
        <v>0</v>
      </c>
      <c r="H75" s="192">
        <v>0</v>
      </c>
      <c r="I75" s="192">
        <v>0</v>
      </c>
      <c r="J75" s="192">
        <v>0</v>
      </c>
      <c r="K75" s="192">
        <v>15832.4</v>
      </c>
      <c r="L75" s="192">
        <v>0</v>
      </c>
      <c r="M75" s="192">
        <v>0</v>
      </c>
      <c r="N75" s="192">
        <v>0</v>
      </c>
      <c r="O75" s="192">
        <v>0</v>
      </c>
      <c r="P75" s="192">
        <v>15698.2</v>
      </c>
      <c r="Q75" s="192">
        <v>0</v>
      </c>
      <c r="R75" s="192">
        <v>0</v>
      </c>
      <c r="S75" s="192">
        <v>0</v>
      </c>
      <c r="T75" s="192">
        <v>10757.86</v>
      </c>
      <c r="U75" s="213" t="s">
        <v>586</v>
      </c>
      <c r="V75" s="180"/>
      <c r="W75" s="182" t="s">
        <v>31</v>
      </c>
      <c r="X75" s="180">
        <v>290</v>
      </c>
      <c r="Y75" s="180">
        <v>289</v>
      </c>
      <c r="Z75" s="182" t="s">
        <v>373</v>
      </c>
      <c r="AA75" s="213"/>
      <c r="AB75" s="90">
        <f t="shared" si="3"/>
        <v>-134.19999999999891</v>
      </c>
      <c r="AC75" s="103">
        <f t="shared" si="1"/>
        <v>-134.19999999999891</v>
      </c>
      <c r="AD75" s="19"/>
      <c r="AE75" s="2"/>
      <c r="AJ75" s="112">
        <f>P75-K75</f>
        <v>-134.19999999999891</v>
      </c>
      <c r="AN75" s="94" t="s">
        <v>289</v>
      </c>
    </row>
    <row r="76" spans="1:40" ht="408.75" customHeight="1" x14ac:dyDescent="0.65">
      <c r="A76" s="198" t="s">
        <v>104</v>
      </c>
      <c r="B76" s="179" t="s">
        <v>256</v>
      </c>
      <c r="C76" s="179" t="s">
        <v>27</v>
      </c>
      <c r="D76" s="192">
        <v>0</v>
      </c>
      <c r="E76" s="192">
        <v>1000</v>
      </c>
      <c r="F76" s="192">
        <v>0</v>
      </c>
      <c r="G76" s="192">
        <v>0</v>
      </c>
      <c r="H76" s="192">
        <v>0</v>
      </c>
      <c r="I76" s="192">
        <v>0</v>
      </c>
      <c r="J76" s="192">
        <v>0</v>
      </c>
      <c r="K76" s="192">
        <v>1000</v>
      </c>
      <c r="L76" s="192">
        <v>0</v>
      </c>
      <c r="M76" s="192">
        <v>0</v>
      </c>
      <c r="N76" s="192">
        <v>0</v>
      </c>
      <c r="O76" s="192">
        <v>0</v>
      </c>
      <c r="P76" s="192">
        <v>1000</v>
      </c>
      <c r="Q76" s="192">
        <v>0</v>
      </c>
      <c r="R76" s="192">
        <v>0</v>
      </c>
      <c r="S76" s="192">
        <v>0</v>
      </c>
      <c r="T76" s="192">
        <v>822.5</v>
      </c>
      <c r="U76" s="201"/>
      <c r="V76" s="180"/>
      <c r="W76" s="182" t="s">
        <v>105</v>
      </c>
      <c r="X76" s="180">
        <v>200</v>
      </c>
      <c r="Y76" s="180">
        <v>200</v>
      </c>
      <c r="Z76" s="182" t="s">
        <v>32</v>
      </c>
      <c r="AA76" s="179"/>
      <c r="AB76" s="90">
        <f t="shared" si="3"/>
        <v>0</v>
      </c>
      <c r="AC76" s="103">
        <f t="shared" si="1"/>
        <v>0</v>
      </c>
      <c r="AD76" s="19"/>
      <c r="AE76" s="2"/>
      <c r="AH76" s="12">
        <f>1000/1250*100</f>
        <v>80</v>
      </c>
      <c r="AJ76" s="113"/>
      <c r="AN76" s="94" t="s">
        <v>289</v>
      </c>
    </row>
    <row r="77" spans="1:40" ht="409.5" x14ac:dyDescent="0.65">
      <c r="A77" s="74" t="s">
        <v>106</v>
      </c>
      <c r="B77" s="179" t="s">
        <v>343</v>
      </c>
      <c r="C77" s="179" t="s">
        <v>27</v>
      </c>
      <c r="D77" s="192">
        <v>0</v>
      </c>
      <c r="E77" s="197">
        <v>4180</v>
      </c>
      <c r="F77" s="192">
        <v>0</v>
      </c>
      <c r="G77" s="192">
        <v>0</v>
      </c>
      <c r="H77" s="192">
        <v>0</v>
      </c>
      <c r="I77" s="192">
        <v>0</v>
      </c>
      <c r="J77" s="192">
        <v>0</v>
      </c>
      <c r="K77" s="192">
        <v>4180</v>
      </c>
      <c r="L77" s="192">
        <v>0</v>
      </c>
      <c r="M77" s="192">
        <v>0</v>
      </c>
      <c r="N77" s="192">
        <v>0</v>
      </c>
      <c r="O77" s="192">
        <v>0</v>
      </c>
      <c r="P77" s="192">
        <v>4180</v>
      </c>
      <c r="Q77" s="192">
        <v>0</v>
      </c>
      <c r="R77" s="192">
        <v>0</v>
      </c>
      <c r="S77" s="192">
        <v>0</v>
      </c>
      <c r="T77" s="192">
        <v>4180</v>
      </c>
      <c r="U77" s="77"/>
      <c r="V77" s="18"/>
      <c r="W77" s="74" t="s">
        <v>107</v>
      </c>
      <c r="X77" s="195">
        <v>2</v>
      </c>
      <c r="Y77" s="180">
        <v>2</v>
      </c>
      <c r="Z77" s="182" t="s">
        <v>32</v>
      </c>
      <c r="AA77" s="179"/>
      <c r="AB77" s="90">
        <f t="shared" si="3"/>
        <v>0</v>
      </c>
      <c r="AC77" s="103">
        <f t="shared" ref="AC77:AC119" si="5">P77-K77</f>
        <v>0</v>
      </c>
      <c r="AD77" s="106"/>
      <c r="AE77" s="23"/>
      <c r="AJ77" s="112"/>
      <c r="AN77" s="94" t="s">
        <v>290</v>
      </c>
    </row>
    <row r="78" spans="1:40" ht="331.5" customHeight="1" x14ac:dyDescent="0.65">
      <c r="A78" s="74" t="s">
        <v>48</v>
      </c>
      <c r="B78" s="223" t="s">
        <v>264</v>
      </c>
      <c r="C78" s="223" t="s">
        <v>27</v>
      </c>
      <c r="D78" s="226">
        <v>0</v>
      </c>
      <c r="E78" s="228">
        <v>13033.4</v>
      </c>
      <c r="F78" s="226">
        <v>0</v>
      </c>
      <c r="G78" s="226">
        <v>0</v>
      </c>
      <c r="H78" s="226">
        <v>0</v>
      </c>
      <c r="I78" s="226">
        <v>0</v>
      </c>
      <c r="J78" s="226">
        <v>0</v>
      </c>
      <c r="K78" s="226">
        <v>13033.4</v>
      </c>
      <c r="L78" s="226">
        <v>0</v>
      </c>
      <c r="M78" s="226">
        <v>0</v>
      </c>
      <c r="N78" s="226">
        <v>0</v>
      </c>
      <c r="O78" s="226">
        <v>0</v>
      </c>
      <c r="P78" s="226"/>
      <c r="Q78" s="226">
        <v>0</v>
      </c>
      <c r="R78" s="226">
        <v>0</v>
      </c>
      <c r="S78" s="226">
        <v>0</v>
      </c>
      <c r="T78" s="226">
        <v>0</v>
      </c>
      <c r="U78" s="77" t="s">
        <v>588</v>
      </c>
      <c r="V78" s="18"/>
      <c r="W78" s="74" t="s">
        <v>31</v>
      </c>
      <c r="X78" s="227">
        <v>724</v>
      </c>
      <c r="Y78" s="224">
        <v>0</v>
      </c>
      <c r="Z78" s="225" t="s">
        <v>374</v>
      </c>
      <c r="AA78" s="223"/>
      <c r="AB78" s="90">
        <f t="shared" si="3"/>
        <v>-13033.4</v>
      </c>
      <c r="AC78" s="103">
        <f t="shared" si="5"/>
        <v>-13033.4</v>
      </c>
      <c r="AD78" s="106"/>
      <c r="AE78" s="23"/>
      <c r="AJ78" s="112"/>
      <c r="AN78" s="94" t="s">
        <v>290</v>
      </c>
    </row>
    <row r="79" spans="1:40" ht="123" customHeight="1" x14ac:dyDescent="0.65">
      <c r="A79" s="198" t="s">
        <v>108</v>
      </c>
      <c r="B79" s="11" t="s">
        <v>109</v>
      </c>
      <c r="C79" s="111"/>
      <c r="D79" s="86">
        <f>D80+D82+D91+D92+D93+D97+D94+D95+D96+D99+D100+D101+D102+D105+D107+D109+D111+D113+D115+D117+D118+D119+D103+D98</f>
        <v>19537204</v>
      </c>
      <c r="E79" s="86">
        <f>E80+E82+E91+E92+E93+E96+E99+E100+E101+E103+E104+E105+E107+E109+E111+E113+E115+E117+E119+E98</f>
        <v>17574989.800000001</v>
      </c>
      <c r="F79" s="86">
        <f>F80+F82+F91+F92+F93+F97+F94+F95+F96+F99+F100+F101+F102+F105+F107+F109+F111+F113+F115+F117+F118+F119</f>
        <v>0</v>
      </c>
      <c r="G79" s="86">
        <f>G80+G82+G91+G92+G93+G97+G94+G95+G96+G99+G100+G101+G102+G105+G107+G109+G111+G113+G115+G117+G118+G119</f>
        <v>0</v>
      </c>
      <c r="H79" s="86">
        <f>H80+H82+H91+H92+H93+H97+H94+H95+H96+H99+H100+H101+H102+H105+H107+H109+H111+H113+H115+H117+H118+H119</f>
        <v>0</v>
      </c>
      <c r="I79" s="86">
        <f>I80+I82+I91+I92+I93+I97+I94+I95+I96+I99+I100+I101+I102+I105+I107+I109+I111+I113+I115+I117+I118+I119+I98</f>
        <v>18819222.299999997</v>
      </c>
      <c r="J79" s="86">
        <f>J80+J82+J91+J92+J93+J97+J94+J95+J96+J99+J100+J101+J102+J105+J107+J109+J111+J113+J115+J117+J118+J119</f>
        <v>0</v>
      </c>
      <c r="K79" s="86">
        <f>K80+K82+K91+K92+K93+K96+K99+K100+K101+K103+K104+K105+K107+K109+K111+K113+K115+K117+K119+K98+K95</f>
        <v>17486247.199999999</v>
      </c>
      <c r="L79" s="86">
        <f>L80+L82+L91+L92+L93+L97+L94+L95+L96+L99+L100+L101+L102+L105+L107+L109+L111+L113+L115+L117+L118+L119+L103</f>
        <v>0</v>
      </c>
      <c r="M79" s="86">
        <f>M80+M82+M91+M92+M93+M97+M94+M95+M96+M99+M100+M101+M102+M105+M107+M109+M111+M113+M115+M117+M118+M119+M103</f>
        <v>0</v>
      </c>
      <c r="N79" s="86">
        <f>N94+N95+N97+N118+N102+N98</f>
        <v>18373796.600000001</v>
      </c>
      <c r="O79" s="86">
        <f>O80+O82+O91+O92+O93+O97+O94+O95+O96+O99+O100+O101+O102+O105+O107+O109+O111+O113+O115+O117+O118+O119+O103</f>
        <v>0</v>
      </c>
      <c r="P79" s="86">
        <f>P80+P82+P91+P92+P93+P97+P94+P95+P96+P99+P100+P101+P102+P105+P107+P109+P111+P113+P115+P117+P118+P119+P103+P104+P98</f>
        <v>16960478.299999997</v>
      </c>
      <c r="Q79" s="86">
        <f>Q80+Q82+Q91+Q92+Q93+Q97+Q94+Q95+Q96+Q99+Q100+Q101+Q102+Q105+Q107+Q109+Q111+Q113+Q115+Q117+Q118+Q119+Q103</f>
        <v>0</v>
      </c>
      <c r="R79" s="86">
        <f>R80+R82+R91+R92+R93+R97+R94+R95+R96+R99+R100+R101+R102+R105+R107+R109+R111+R113+R115+R117+R118+R119+R103</f>
        <v>0</v>
      </c>
      <c r="S79" s="86">
        <f>S80+S82+S91+S92+S93+S97+S94+S95+S96+S99+S100+S101+S102+S105+S107+S109+S111+S113+S115+S117+S118+S119+S103</f>
        <v>0</v>
      </c>
      <c r="T79" s="86">
        <f>T80+T82+T91+T92+T93+T97+T94+T95+T96+T99+T100+T101+T102+T105+T107+T109+T111+T113+T115+T117+T118+T119+T103</f>
        <v>812339.94</v>
      </c>
      <c r="U79" s="10" t="s">
        <v>23</v>
      </c>
      <c r="V79" s="10" t="s">
        <v>23</v>
      </c>
      <c r="W79" s="10" t="s">
        <v>23</v>
      </c>
      <c r="X79" s="10" t="s">
        <v>23</v>
      </c>
      <c r="Y79" s="10"/>
      <c r="Z79" s="10" t="s">
        <v>23</v>
      </c>
      <c r="AA79" s="24"/>
      <c r="AB79" s="24"/>
      <c r="AC79" s="103">
        <f t="shared" si="5"/>
        <v>-525768.90000000224</v>
      </c>
      <c r="AD79" s="104">
        <f>(N79+P79)/(I79+K79)*100</f>
        <v>97.324935847476084</v>
      </c>
      <c r="AE79" s="2"/>
      <c r="AH79" s="13">
        <f>N79/I79*100</f>
        <v>97.633134393656661</v>
      </c>
      <c r="AI79" s="13">
        <f>P79/K79*100</f>
        <v>96.993243352981978</v>
      </c>
      <c r="AJ79" s="112"/>
      <c r="AN79" s="95"/>
    </row>
    <row r="80" spans="1:40" ht="268.5" customHeight="1" x14ac:dyDescent="0.65">
      <c r="A80" s="75" t="s">
        <v>33</v>
      </c>
      <c r="B80" s="179" t="s">
        <v>110</v>
      </c>
      <c r="C80" s="179" t="s">
        <v>27</v>
      </c>
      <c r="D80" s="192">
        <v>0</v>
      </c>
      <c r="E80" s="192">
        <v>2513747.4</v>
      </c>
      <c r="F80" s="192">
        <v>0</v>
      </c>
      <c r="G80" s="192">
        <v>0</v>
      </c>
      <c r="H80" s="192">
        <v>0</v>
      </c>
      <c r="I80" s="192"/>
      <c r="J80" s="192">
        <v>0</v>
      </c>
      <c r="K80" s="192">
        <f>K81</f>
        <v>2513747.4</v>
      </c>
      <c r="L80" s="192">
        <v>0</v>
      </c>
      <c r="M80" s="192">
        <v>0</v>
      </c>
      <c r="N80" s="192">
        <v>0</v>
      </c>
      <c r="O80" s="192">
        <v>0</v>
      </c>
      <c r="P80" s="192">
        <f>P81</f>
        <v>2483157</v>
      </c>
      <c r="Q80" s="192">
        <v>0</v>
      </c>
      <c r="R80" s="192">
        <v>0</v>
      </c>
      <c r="S80" s="192"/>
      <c r="T80" s="192">
        <f>T81</f>
        <v>412145.9</v>
      </c>
      <c r="U80" s="18" t="s">
        <v>23</v>
      </c>
      <c r="V80" s="180" t="s">
        <v>23</v>
      </c>
      <c r="W80" s="180" t="s">
        <v>23</v>
      </c>
      <c r="X80" s="180" t="s">
        <v>23</v>
      </c>
      <c r="Y80" s="180"/>
      <c r="Z80" s="180" t="s">
        <v>23</v>
      </c>
      <c r="AA80" s="185"/>
      <c r="AB80" s="185"/>
      <c r="AC80" s="103">
        <f t="shared" si="5"/>
        <v>-30590.399999999907</v>
      </c>
      <c r="AD80" s="19"/>
      <c r="AE80" s="2"/>
      <c r="AJ80" s="112"/>
    </row>
    <row r="81" spans="1:40" ht="409.6" customHeight="1" x14ac:dyDescent="0.65">
      <c r="A81" s="198" t="s">
        <v>81</v>
      </c>
      <c r="B81" s="179" t="s">
        <v>86</v>
      </c>
      <c r="C81" s="179" t="s">
        <v>27</v>
      </c>
      <c r="D81" s="192">
        <v>0</v>
      </c>
      <c r="E81" s="192">
        <v>2513747.4</v>
      </c>
      <c r="F81" s="192">
        <v>0</v>
      </c>
      <c r="G81" s="192">
        <v>0</v>
      </c>
      <c r="H81" s="192">
        <v>0</v>
      </c>
      <c r="I81" s="192">
        <v>0</v>
      </c>
      <c r="J81" s="192">
        <v>0</v>
      </c>
      <c r="K81" s="192">
        <v>2513747.4</v>
      </c>
      <c r="L81" s="192">
        <v>0</v>
      </c>
      <c r="M81" s="192">
        <v>0</v>
      </c>
      <c r="N81" s="192"/>
      <c r="O81" s="192">
        <v>0</v>
      </c>
      <c r="P81" s="192">
        <v>2483157</v>
      </c>
      <c r="Q81" s="192">
        <v>0</v>
      </c>
      <c r="R81" s="192">
        <v>0</v>
      </c>
      <c r="S81" s="192">
        <v>0</v>
      </c>
      <c r="T81" s="192">
        <v>412145.9</v>
      </c>
      <c r="U81" s="219" t="s">
        <v>580</v>
      </c>
      <c r="V81" s="180"/>
      <c r="W81" s="180" t="s">
        <v>31</v>
      </c>
      <c r="X81" s="183">
        <v>42651</v>
      </c>
      <c r="Y81" s="183">
        <v>75262</v>
      </c>
      <c r="Z81" s="182" t="s">
        <v>32</v>
      </c>
      <c r="AA81" s="179"/>
      <c r="AB81" s="181">
        <f>P81-K81</f>
        <v>-30590.399999999907</v>
      </c>
      <c r="AC81" s="103">
        <f t="shared" si="5"/>
        <v>-30590.399999999907</v>
      </c>
      <c r="AD81" s="19"/>
      <c r="AE81" s="2"/>
      <c r="AJ81" s="112">
        <f>P81-K81</f>
        <v>-30590.399999999907</v>
      </c>
      <c r="AN81" s="94" t="s">
        <v>291</v>
      </c>
    </row>
    <row r="82" spans="1:40" ht="409.5" customHeight="1" x14ac:dyDescent="0.65">
      <c r="A82" s="233" t="s">
        <v>34</v>
      </c>
      <c r="B82" s="237" t="s">
        <v>242</v>
      </c>
      <c r="C82" s="237" t="s">
        <v>27</v>
      </c>
      <c r="D82" s="234">
        <v>0</v>
      </c>
      <c r="E82" s="235">
        <v>331374.90000000002</v>
      </c>
      <c r="F82" s="235">
        <v>0</v>
      </c>
      <c r="G82" s="234">
        <v>0</v>
      </c>
      <c r="H82" s="234">
        <v>0</v>
      </c>
      <c r="I82" s="234">
        <v>0</v>
      </c>
      <c r="J82" s="234">
        <v>0</v>
      </c>
      <c r="K82" s="234">
        <f>K84+K86</f>
        <v>331374.90000000002</v>
      </c>
      <c r="L82" s="234">
        <v>0</v>
      </c>
      <c r="M82" s="234">
        <v>0</v>
      </c>
      <c r="N82" s="234">
        <v>0</v>
      </c>
      <c r="O82" s="234">
        <v>0</v>
      </c>
      <c r="P82" s="234">
        <f>P84+P86</f>
        <v>301313</v>
      </c>
      <c r="Q82" s="234">
        <v>0</v>
      </c>
      <c r="R82" s="234">
        <v>0</v>
      </c>
      <c r="S82" s="234">
        <v>0</v>
      </c>
      <c r="T82" s="234">
        <f>T84+T86</f>
        <v>67092.34</v>
      </c>
      <c r="U82" s="250"/>
      <c r="V82" s="239" t="s">
        <v>23</v>
      </c>
      <c r="W82" s="239" t="s">
        <v>23</v>
      </c>
      <c r="X82" s="239" t="s">
        <v>23</v>
      </c>
      <c r="Y82" s="239"/>
      <c r="Z82" s="239" t="s">
        <v>23</v>
      </c>
      <c r="AA82" s="263"/>
      <c r="AB82" s="185"/>
      <c r="AC82" s="103">
        <f t="shared" si="5"/>
        <v>-30061.900000000023</v>
      </c>
      <c r="AD82" s="19"/>
      <c r="AE82" s="2"/>
      <c r="AJ82" s="112"/>
    </row>
    <row r="83" spans="1:40" ht="126" customHeight="1" x14ac:dyDescent="0.65">
      <c r="A83" s="233"/>
      <c r="B83" s="237"/>
      <c r="C83" s="237"/>
      <c r="D83" s="234"/>
      <c r="E83" s="235"/>
      <c r="F83" s="235"/>
      <c r="G83" s="234"/>
      <c r="H83" s="234"/>
      <c r="I83" s="234"/>
      <c r="J83" s="234"/>
      <c r="K83" s="234"/>
      <c r="L83" s="234"/>
      <c r="M83" s="234"/>
      <c r="N83" s="234"/>
      <c r="O83" s="234"/>
      <c r="P83" s="234"/>
      <c r="Q83" s="234"/>
      <c r="R83" s="234"/>
      <c r="S83" s="234"/>
      <c r="T83" s="234"/>
      <c r="U83" s="251"/>
      <c r="V83" s="239"/>
      <c r="W83" s="239"/>
      <c r="X83" s="239"/>
      <c r="Y83" s="239"/>
      <c r="Z83" s="239"/>
      <c r="AA83" s="264"/>
      <c r="AB83" s="185"/>
      <c r="AC83" s="103"/>
      <c r="AD83" s="19"/>
      <c r="AE83" s="2"/>
      <c r="AJ83" s="112"/>
    </row>
    <row r="84" spans="1:40" ht="289.5" customHeight="1" x14ac:dyDescent="0.65">
      <c r="A84" s="252" t="s">
        <v>111</v>
      </c>
      <c r="B84" s="250" t="s">
        <v>86</v>
      </c>
      <c r="C84" s="250" t="s">
        <v>27</v>
      </c>
      <c r="D84" s="247">
        <v>0</v>
      </c>
      <c r="E84" s="241">
        <v>119537.1</v>
      </c>
      <c r="F84" s="241">
        <v>0</v>
      </c>
      <c r="G84" s="247">
        <v>0</v>
      </c>
      <c r="H84" s="247">
        <v>0</v>
      </c>
      <c r="I84" s="247">
        <v>0</v>
      </c>
      <c r="J84" s="247">
        <v>0</v>
      </c>
      <c r="K84" s="247">
        <v>119537.1</v>
      </c>
      <c r="L84" s="247">
        <v>0</v>
      </c>
      <c r="M84" s="247">
        <v>0</v>
      </c>
      <c r="N84" s="247">
        <v>0</v>
      </c>
      <c r="O84" s="247">
        <v>0</v>
      </c>
      <c r="P84" s="247">
        <v>89475.199999999997</v>
      </c>
      <c r="Q84" s="247">
        <v>0</v>
      </c>
      <c r="R84" s="247">
        <v>0</v>
      </c>
      <c r="S84" s="247">
        <v>0</v>
      </c>
      <c r="T84" s="247">
        <v>208</v>
      </c>
      <c r="U84" s="250" t="s">
        <v>581</v>
      </c>
      <c r="V84" s="263"/>
      <c r="W84" s="263" t="s">
        <v>31</v>
      </c>
      <c r="X84" s="263">
        <v>110</v>
      </c>
      <c r="Y84" s="263">
        <v>111</v>
      </c>
      <c r="Z84" s="265" t="s">
        <v>32</v>
      </c>
      <c r="AA84" s="250"/>
      <c r="AB84" s="181">
        <f>P84-K84</f>
        <v>-30061.900000000009</v>
      </c>
      <c r="AC84" s="103">
        <f t="shared" si="5"/>
        <v>-30061.900000000009</v>
      </c>
      <c r="AD84" s="19"/>
      <c r="AE84" s="2"/>
      <c r="AJ84" s="112">
        <f>P84-K84</f>
        <v>-30061.900000000009</v>
      </c>
      <c r="AN84" s="94" t="s">
        <v>291</v>
      </c>
    </row>
    <row r="85" spans="1:40" ht="409.6" customHeight="1" x14ac:dyDescent="0.65">
      <c r="A85" s="253"/>
      <c r="B85" s="251"/>
      <c r="C85" s="251"/>
      <c r="D85" s="249"/>
      <c r="E85" s="242"/>
      <c r="F85" s="242"/>
      <c r="G85" s="249"/>
      <c r="H85" s="249"/>
      <c r="I85" s="249"/>
      <c r="J85" s="249"/>
      <c r="K85" s="249"/>
      <c r="L85" s="249"/>
      <c r="M85" s="249"/>
      <c r="N85" s="249"/>
      <c r="O85" s="249"/>
      <c r="P85" s="249"/>
      <c r="Q85" s="249"/>
      <c r="R85" s="249"/>
      <c r="S85" s="249"/>
      <c r="T85" s="249"/>
      <c r="U85" s="251"/>
      <c r="V85" s="264"/>
      <c r="W85" s="264"/>
      <c r="X85" s="264"/>
      <c r="Y85" s="264"/>
      <c r="Z85" s="266"/>
      <c r="AA85" s="251"/>
      <c r="AB85" s="179"/>
      <c r="AC85" s="103">
        <f t="shared" si="5"/>
        <v>0</v>
      </c>
      <c r="AD85" s="19"/>
      <c r="AE85" s="2"/>
      <c r="AJ85" s="247"/>
    </row>
    <row r="86" spans="1:40" ht="211.5" x14ac:dyDescent="0.65">
      <c r="A86" s="198" t="s">
        <v>112</v>
      </c>
      <c r="B86" s="179" t="s">
        <v>113</v>
      </c>
      <c r="C86" s="179" t="s">
        <v>27</v>
      </c>
      <c r="D86" s="192">
        <v>0</v>
      </c>
      <c r="E86" s="197">
        <v>211837.8</v>
      </c>
      <c r="F86" s="197">
        <v>0</v>
      </c>
      <c r="G86" s="192">
        <v>0</v>
      </c>
      <c r="H86" s="192">
        <v>0</v>
      </c>
      <c r="I86" s="192">
        <v>0</v>
      </c>
      <c r="J86" s="192">
        <v>0</v>
      </c>
      <c r="K86" s="192">
        <f>K87+K88+K89</f>
        <v>211837.80000000002</v>
      </c>
      <c r="L86" s="192">
        <v>0</v>
      </c>
      <c r="M86" s="192">
        <v>0</v>
      </c>
      <c r="N86" s="192">
        <v>0</v>
      </c>
      <c r="O86" s="192">
        <v>0</v>
      </c>
      <c r="P86" s="192">
        <f>P87+P88+P89</f>
        <v>211837.80000000002</v>
      </c>
      <c r="Q86" s="192">
        <v>0</v>
      </c>
      <c r="R86" s="192">
        <v>0</v>
      </c>
      <c r="S86" s="192">
        <v>0</v>
      </c>
      <c r="T86" s="192">
        <f>T87+T88+T89</f>
        <v>66884.34</v>
      </c>
      <c r="U86" s="202"/>
      <c r="V86" s="180" t="s">
        <v>23</v>
      </c>
      <c r="W86" s="180" t="s">
        <v>23</v>
      </c>
      <c r="X86" s="180" t="s">
        <v>23</v>
      </c>
      <c r="Y86" s="180"/>
      <c r="Z86" s="180" t="s">
        <v>23</v>
      </c>
      <c r="AA86" s="179"/>
      <c r="AB86" s="179"/>
      <c r="AC86" s="103">
        <f t="shared" si="5"/>
        <v>0</v>
      </c>
      <c r="AD86" s="19"/>
      <c r="AE86" s="2"/>
      <c r="AJ86" s="249"/>
    </row>
    <row r="87" spans="1:40" ht="285" customHeight="1" x14ac:dyDescent="0.65">
      <c r="A87" s="198" t="s">
        <v>114</v>
      </c>
      <c r="B87" s="179" t="s">
        <v>91</v>
      </c>
      <c r="C87" s="179" t="s">
        <v>27</v>
      </c>
      <c r="D87" s="192">
        <v>0</v>
      </c>
      <c r="E87" s="197">
        <v>192786</v>
      </c>
      <c r="F87" s="197">
        <v>0</v>
      </c>
      <c r="G87" s="192">
        <v>0</v>
      </c>
      <c r="H87" s="192">
        <v>0</v>
      </c>
      <c r="I87" s="192">
        <v>0</v>
      </c>
      <c r="J87" s="192">
        <v>0</v>
      </c>
      <c r="K87" s="192">
        <v>192786</v>
      </c>
      <c r="L87" s="192">
        <v>0</v>
      </c>
      <c r="M87" s="192">
        <v>0</v>
      </c>
      <c r="N87" s="192">
        <v>0</v>
      </c>
      <c r="O87" s="192">
        <v>0</v>
      </c>
      <c r="P87" s="220">
        <v>192786</v>
      </c>
      <c r="Q87" s="192">
        <v>0</v>
      </c>
      <c r="R87" s="192">
        <v>0</v>
      </c>
      <c r="S87" s="192">
        <v>0</v>
      </c>
      <c r="T87" s="192">
        <v>49183.94</v>
      </c>
      <c r="U87" s="201" t="s">
        <v>578</v>
      </c>
      <c r="V87" s="180"/>
      <c r="W87" s="180" t="s">
        <v>31</v>
      </c>
      <c r="X87" s="183">
        <v>2019</v>
      </c>
      <c r="Y87" s="183">
        <f>210+241</f>
        <v>451</v>
      </c>
      <c r="Z87" s="182" t="s">
        <v>374</v>
      </c>
      <c r="AA87" s="221" t="s">
        <v>425</v>
      </c>
      <c r="AB87" s="181">
        <f>P87-K87</f>
        <v>0</v>
      </c>
      <c r="AC87" s="103">
        <f t="shared" si="5"/>
        <v>0</v>
      </c>
      <c r="AD87" s="107"/>
      <c r="AE87" s="25"/>
      <c r="AI87" s="125"/>
      <c r="AJ87" s="112">
        <f>P87-K87</f>
        <v>0</v>
      </c>
    </row>
    <row r="88" spans="1:40" ht="119.25" customHeight="1" x14ac:dyDescent="0.65">
      <c r="A88" s="198" t="s">
        <v>115</v>
      </c>
      <c r="B88" s="179" t="s">
        <v>93</v>
      </c>
      <c r="C88" s="179" t="s">
        <v>27</v>
      </c>
      <c r="D88" s="192">
        <v>0</v>
      </c>
      <c r="E88" s="197">
        <v>17749.7</v>
      </c>
      <c r="F88" s="197">
        <v>0</v>
      </c>
      <c r="G88" s="192">
        <v>0</v>
      </c>
      <c r="H88" s="192">
        <v>0</v>
      </c>
      <c r="I88" s="192">
        <v>0</v>
      </c>
      <c r="J88" s="192">
        <v>0</v>
      </c>
      <c r="K88" s="192">
        <v>17749.7</v>
      </c>
      <c r="L88" s="192">
        <v>0</v>
      </c>
      <c r="M88" s="192">
        <v>0</v>
      </c>
      <c r="N88" s="192">
        <v>0</v>
      </c>
      <c r="O88" s="192">
        <v>0</v>
      </c>
      <c r="P88" s="192">
        <v>17749.7</v>
      </c>
      <c r="Q88" s="192">
        <v>0</v>
      </c>
      <c r="R88" s="192">
        <v>0</v>
      </c>
      <c r="S88" s="192">
        <v>0</v>
      </c>
      <c r="T88" s="192">
        <v>17700.400000000001</v>
      </c>
      <c r="U88" s="201"/>
      <c r="V88" s="180"/>
      <c r="W88" s="182" t="s">
        <v>87</v>
      </c>
      <c r="X88" s="180">
        <v>2</v>
      </c>
      <c r="Y88" s="180">
        <v>2</v>
      </c>
      <c r="Z88" s="182" t="s">
        <v>32</v>
      </c>
      <c r="AA88" s="179"/>
      <c r="AB88" s="179"/>
      <c r="AC88" s="103">
        <f t="shared" si="5"/>
        <v>0</v>
      </c>
      <c r="AD88" s="107"/>
      <c r="AE88" s="25"/>
      <c r="AJ88" s="112">
        <f>P88-K88</f>
        <v>0</v>
      </c>
    </row>
    <row r="89" spans="1:40" ht="408.75" customHeight="1" x14ac:dyDescent="0.65">
      <c r="A89" s="233" t="s">
        <v>116</v>
      </c>
      <c r="B89" s="237" t="s">
        <v>344</v>
      </c>
      <c r="C89" s="237" t="s">
        <v>27</v>
      </c>
      <c r="D89" s="234">
        <v>0</v>
      </c>
      <c r="E89" s="235">
        <v>1302.0999999999999</v>
      </c>
      <c r="F89" s="235">
        <v>0</v>
      </c>
      <c r="G89" s="234">
        <v>0</v>
      </c>
      <c r="H89" s="234">
        <v>0</v>
      </c>
      <c r="I89" s="234">
        <v>0</v>
      </c>
      <c r="J89" s="234">
        <v>0</v>
      </c>
      <c r="K89" s="234">
        <v>1302.0999999999999</v>
      </c>
      <c r="L89" s="234">
        <v>0</v>
      </c>
      <c r="M89" s="234">
        <v>0</v>
      </c>
      <c r="N89" s="234">
        <v>0</v>
      </c>
      <c r="O89" s="234">
        <v>0</v>
      </c>
      <c r="P89" s="234">
        <v>1302.0999999999999</v>
      </c>
      <c r="Q89" s="234">
        <v>0</v>
      </c>
      <c r="R89" s="234">
        <v>0</v>
      </c>
      <c r="S89" s="234">
        <v>0</v>
      </c>
      <c r="T89" s="234">
        <v>0</v>
      </c>
      <c r="U89" s="261"/>
      <c r="V89" s="263"/>
      <c r="W89" s="263" t="s">
        <v>31</v>
      </c>
      <c r="X89" s="263">
        <v>186</v>
      </c>
      <c r="Y89" s="263">
        <v>186</v>
      </c>
      <c r="Z89" s="265" t="s">
        <v>32</v>
      </c>
      <c r="AA89" s="280"/>
      <c r="AB89" s="90">
        <f>P89-K89</f>
        <v>0</v>
      </c>
      <c r="AC89" s="103">
        <f t="shared" si="5"/>
        <v>0</v>
      </c>
      <c r="AD89" s="19"/>
      <c r="AE89" s="2"/>
      <c r="AJ89" s="234">
        <f>P89-K89</f>
        <v>0</v>
      </c>
    </row>
    <row r="90" spans="1:40" ht="86.25" customHeight="1" x14ac:dyDescent="0.65">
      <c r="A90" s="233"/>
      <c r="B90" s="237"/>
      <c r="C90" s="237"/>
      <c r="D90" s="234"/>
      <c r="E90" s="235"/>
      <c r="F90" s="235"/>
      <c r="G90" s="234"/>
      <c r="H90" s="234"/>
      <c r="I90" s="234"/>
      <c r="J90" s="234"/>
      <c r="K90" s="234"/>
      <c r="L90" s="234"/>
      <c r="M90" s="234"/>
      <c r="N90" s="234"/>
      <c r="O90" s="234"/>
      <c r="P90" s="234"/>
      <c r="Q90" s="234"/>
      <c r="R90" s="234"/>
      <c r="S90" s="234"/>
      <c r="T90" s="234"/>
      <c r="U90" s="262"/>
      <c r="V90" s="264"/>
      <c r="W90" s="264"/>
      <c r="X90" s="264"/>
      <c r="Y90" s="264"/>
      <c r="Z90" s="266"/>
      <c r="AA90" s="281"/>
      <c r="AB90" s="185"/>
      <c r="AC90" s="103"/>
      <c r="AD90" s="19"/>
      <c r="AE90" s="2"/>
      <c r="AJ90" s="234"/>
    </row>
    <row r="91" spans="1:40" ht="409.6" customHeight="1" x14ac:dyDescent="0.65">
      <c r="A91" s="199" t="s">
        <v>83</v>
      </c>
      <c r="B91" s="177" t="s">
        <v>311</v>
      </c>
      <c r="C91" s="177" t="s">
        <v>27</v>
      </c>
      <c r="D91" s="190">
        <v>0</v>
      </c>
      <c r="E91" s="190">
        <v>267853.09999999998</v>
      </c>
      <c r="F91" s="190">
        <v>0</v>
      </c>
      <c r="G91" s="190">
        <v>0</v>
      </c>
      <c r="H91" s="190">
        <v>0</v>
      </c>
      <c r="I91" s="190">
        <v>0</v>
      </c>
      <c r="J91" s="190">
        <v>0</v>
      </c>
      <c r="K91" s="190">
        <v>267853.09999999998</v>
      </c>
      <c r="L91" s="190">
        <v>0</v>
      </c>
      <c r="M91" s="190">
        <v>0</v>
      </c>
      <c r="N91" s="190">
        <v>0</v>
      </c>
      <c r="O91" s="190">
        <v>0</v>
      </c>
      <c r="P91" s="190">
        <v>267853.09999999998</v>
      </c>
      <c r="Q91" s="190">
        <v>0</v>
      </c>
      <c r="R91" s="190">
        <v>0</v>
      </c>
      <c r="S91" s="190">
        <v>0</v>
      </c>
      <c r="T91" s="192">
        <v>267853.09999999998</v>
      </c>
      <c r="U91" s="204"/>
      <c r="V91" s="184"/>
      <c r="W91" s="184" t="s">
        <v>31</v>
      </c>
      <c r="X91" s="189">
        <v>4536</v>
      </c>
      <c r="Y91" s="189">
        <v>4027</v>
      </c>
      <c r="Z91" s="176" t="s">
        <v>373</v>
      </c>
      <c r="AA91" s="177" t="s">
        <v>472</v>
      </c>
      <c r="AB91" s="181">
        <f>P91-K91</f>
        <v>0</v>
      </c>
      <c r="AC91" s="103">
        <f t="shared" si="5"/>
        <v>0</v>
      </c>
      <c r="AD91" s="19"/>
      <c r="AE91" s="2"/>
      <c r="AJ91" s="144">
        <f>P91-K91</f>
        <v>0</v>
      </c>
      <c r="AN91" s="94" t="s">
        <v>292</v>
      </c>
    </row>
    <row r="92" spans="1:40" ht="409.6" customHeight="1" x14ac:dyDescent="0.65">
      <c r="A92" s="198" t="s">
        <v>36</v>
      </c>
      <c r="B92" s="179" t="s">
        <v>470</v>
      </c>
      <c r="C92" s="179" t="s">
        <v>27</v>
      </c>
      <c r="D92" s="192">
        <v>0</v>
      </c>
      <c r="E92" s="197">
        <v>1037067.6</v>
      </c>
      <c r="F92" s="197">
        <v>0</v>
      </c>
      <c r="G92" s="192">
        <v>0</v>
      </c>
      <c r="H92" s="192">
        <v>0</v>
      </c>
      <c r="I92" s="192">
        <v>0</v>
      </c>
      <c r="J92" s="192">
        <v>0</v>
      </c>
      <c r="K92" s="192">
        <v>1037067.6</v>
      </c>
      <c r="L92" s="192">
        <v>0</v>
      </c>
      <c r="M92" s="192">
        <v>0</v>
      </c>
      <c r="N92" s="192">
        <v>0</v>
      </c>
      <c r="O92" s="192">
        <v>0</v>
      </c>
      <c r="P92" s="192">
        <v>1008193.2</v>
      </c>
      <c r="Q92" s="192">
        <v>0</v>
      </c>
      <c r="R92" s="192">
        <v>0</v>
      </c>
      <c r="S92" s="192">
        <v>0</v>
      </c>
      <c r="T92" s="192">
        <v>171.7</v>
      </c>
      <c r="U92" s="221" t="s">
        <v>569</v>
      </c>
      <c r="V92" s="180"/>
      <c r="W92" s="180" t="s">
        <v>31</v>
      </c>
      <c r="X92" s="183">
        <v>420283</v>
      </c>
      <c r="Y92" s="195">
        <v>401832</v>
      </c>
      <c r="Z92" s="182" t="s">
        <v>373</v>
      </c>
      <c r="AA92" s="179" t="s">
        <v>430</v>
      </c>
      <c r="AB92" s="181">
        <f>P92-K92</f>
        <v>-28874.400000000023</v>
      </c>
      <c r="AC92" s="103">
        <f t="shared" si="5"/>
        <v>-28874.400000000023</v>
      </c>
      <c r="AD92" s="19"/>
      <c r="AE92" s="2"/>
      <c r="AH92" s="12">
        <f>P92/K92*100</f>
        <v>97.215764912528357</v>
      </c>
      <c r="AJ92" s="112">
        <f>P92-K92</f>
        <v>-28874.400000000023</v>
      </c>
      <c r="AN92" s="94" t="s">
        <v>292</v>
      </c>
    </row>
    <row r="93" spans="1:40" ht="409.6" customHeight="1" x14ac:dyDescent="0.65">
      <c r="A93" s="199" t="s">
        <v>37</v>
      </c>
      <c r="B93" s="177" t="s">
        <v>313</v>
      </c>
      <c r="C93" s="177" t="s">
        <v>27</v>
      </c>
      <c r="D93" s="190">
        <v>0</v>
      </c>
      <c r="E93" s="190">
        <v>128758.1</v>
      </c>
      <c r="F93" s="190">
        <v>0</v>
      </c>
      <c r="G93" s="190">
        <v>0</v>
      </c>
      <c r="H93" s="190">
        <v>0</v>
      </c>
      <c r="I93" s="190">
        <v>0</v>
      </c>
      <c r="J93" s="190">
        <v>0</v>
      </c>
      <c r="K93" s="190">
        <v>128758.1</v>
      </c>
      <c r="L93" s="190">
        <v>0</v>
      </c>
      <c r="M93" s="190">
        <v>0</v>
      </c>
      <c r="N93" s="190">
        <v>0</v>
      </c>
      <c r="O93" s="190">
        <v>0</v>
      </c>
      <c r="P93" s="190">
        <v>116559.9</v>
      </c>
      <c r="Q93" s="190">
        <v>0</v>
      </c>
      <c r="R93" s="190">
        <v>0</v>
      </c>
      <c r="S93" s="190">
        <v>0</v>
      </c>
      <c r="T93" s="192">
        <v>1636.3</v>
      </c>
      <c r="U93" s="206" t="s">
        <v>533</v>
      </c>
      <c r="V93" s="184"/>
      <c r="W93" s="184" t="s">
        <v>31</v>
      </c>
      <c r="X93" s="189">
        <v>102000</v>
      </c>
      <c r="Y93" s="189">
        <v>91855</v>
      </c>
      <c r="Z93" s="176" t="s">
        <v>373</v>
      </c>
      <c r="AA93" s="177" t="s">
        <v>430</v>
      </c>
      <c r="AB93" s="181">
        <f>P93-K93</f>
        <v>-12198.200000000012</v>
      </c>
      <c r="AC93" s="103">
        <f t="shared" si="5"/>
        <v>-12198.200000000012</v>
      </c>
      <c r="AD93" s="19"/>
      <c r="AE93" s="2"/>
      <c r="AH93" s="12">
        <f>P93/K93*100</f>
        <v>90.526265920357616</v>
      </c>
      <c r="AJ93" s="112">
        <f>P93-K93</f>
        <v>-12198.200000000012</v>
      </c>
      <c r="AN93" s="94" t="s">
        <v>292</v>
      </c>
    </row>
    <row r="94" spans="1:40" ht="409.6" customHeight="1" x14ac:dyDescent="0.65">
      <c r="A94" s="198" t="s">
        <v>41</v>
      </c>
      <c r="B94" s="179" t="s">
        <v>345</v>
      </c>
      <c r="C94" s="179" t="s">
        <v>27</v>
      </c>
      <c r="D94" s="192">
        <v>25264.2</v>
      </c>
      <c r="E94" s="192">
        <v>0</v>
      </c>
      <c r="F94" s="192">
        <v>0</v>
      </c>
      <c r="G94" s="192">
        <v>0</v>
      </c>
      <c r="H94" s="192">
        <v>0</v>
      </c>
      <c r="I94" s="192">
        <v>25264.2</v>
      </c>
      <c r="J94" s="192">
        <v>0</v>
      </c>
      <c r="K94" s="192">
        <v>0</v>
      </c>
      <c r="L94" s="192">
        <v>0</v>
      </c>
      <c r="M94" s="192">
        <v>0</v>
      </c>
      <c r="N94" s="192">
        <v>19351</v>
      </c>
      <c r="O94" s="192">
        <v>0</v>
      </c>
      <c r="P94" s="192">
        <v>0</v>
      </c>
      <c r="Q94" s="192">
        <v>0</v>
      </c>
      <c r="R94" s="192">
        <v>0</v>
      </c>
      <c r="S94" s="192">
        <v>0</v>
      </c>
      <c r="T94" s="192">
        <v>0</v>
      </c>
      <c r="U94" s="221" t="s">
        <v>574</v>
      </c>
      <c r="V94" s="180"/>
      <c r="W94" s="182" t="s">
        <v>31</v>
      </c>
      <c r="X94" s="180">
        <v>216</v>
      </c>
      <c r="Y94" s="180">
        <v>230</v>
      </c>
      <c r="Z94" s="182" t="s">
        <v>32</v>
      </c>
      <c r="AA94" s="179"/>
      <c r="AB94" s="181">
        <f>N94-I94</f>
        <v>-5913.2000000000007</v>
      </c>
      <c r="AC94" s="103">
        <f>N94-I94</f>
        <v>-5913.2000000000007</v>
      </c>
      <c r="AD94" s="19"/>
      <c r="AE94" s="2"/>
      <c r="AJ94" s="112">
        <f>N94-I94</f>
        <v>-5913.2000000000007</v>
      </c>
      <c r="AN94" s="94" t="s">
        <v>292</v>
      </c>
    </row>
    <row r="95" spans="1:40" ht="409.6" customHeight="1" x14ac:dyDescent="0.65">
      <c r="A95" s="74" t="s">
        <v>463</v>
      </c>
      <c r="B95" s="179" t="s">
        <v>319</v>
      </c>
      <c r="C95" s="181" t="s">
        <v>27</v>
      </c>
      <c r="D95" s="197">
        <v>3774834.3</v>
      </c>
      <c r="E95" s="192">
        <v>0</v>
      </c>
      <c r="F95" s="192">
        <v>0</v>
      </c>
      <c r="G95" s="192">
        <v>0</v>
      </c>
      <c r="H95" s="192">
        <v>0</v>
      </c>
      <c r="I95" s="197">
        <v>3584837.5</v>
      </c>
      <c r="J95" s="192">
        <v>0</v>
      </c>
      <c r="K95" s="192"/>
      <c r="L95" s="192">
        <v>0</v>
      </c>
      <c r="M95" s="192">
        <v>0</v>
      </c>
      <c r="N95" s="192">
        <v>3397682.4</v>
      </c>
      <c r="O95" s="192">
        <v>0</v>
      </c>
      <c r="P95" s="192">
        <v>0</v>
      </c>
      <c r="Q95" s="192">
        <v>0</v>
      </c>
      <c r="R95" s="192">
        <v>0</v>
      </c>
      <c r="S95" s="192">
        <v>0</v>
      </c>
      <c r="T95" s="192">
        <v>405.9</v>
      </c>
      <c r="U95" s="74" t="s">
        <v>575</v>
      </c>
      <c r="V95" s="18"/>
      <c r="W95" s="74" t="s">
        <v>31</v>
      </c>
      <c r="X95" s="183">
        <v>90000</v>
      </c>
      <c r="Y95" s="183">
        <v>93375</v>
      </c>
      <c r="Z95" s="182" t="s">
        <v>32</v>
      </c>
      <c r="AA95" s="179"/>
      <c r="AB95" s="181">
        <f>N95-I95</f>
        <v>-187155.10000000009</v>
      </c>
      <c r="AC95" s="103">
        <f>N95-I95</f>
        <v>-187155.10000000009</v>
      </c>
      <c r="AD95" s="19"/>
      <c r="AE95" s="2"/>
      <c r="AJ95" s="113"/>
      <c r="AN95" s="94" t="s">
        <v>292</v>
      </c>
    </row>
    <row r="96" spans="1:40" ht="409.6" customHeight="1" x14ac:dyDescent="0.65">
      <c r="A96" s="182" t="s">
        <v>118</v>
      </c>
      <c r="B96" s="179" t="s">
        <v>346</v>
      </c>
      <c r="C96" s="181" t="s">
        <v>27</v>
      </c>
      <c r="D96" s="197">
        <v>0</v>
      </c>
      <c r="E96" s="197">
        <v>3636601.4</v>
      </c>
      <c r="F96" s="197">
        <v>0</v>
      </c>
      <c r="G96" s="197">
        <v>0</v>
      </c>
      <c r="H96" s="197">
        <v>0</v>
      </c>
      <c r="I96" s="197">
        <v>0</v>
      </c>
      <c r="J96" s="197">
        <v>0</v>
      </c>
      <c r="K96" s="197">
        <v>3636601.4</v>
      </c>
      <c r="L96" s="197">
        <v>0</v>
      </c>
      <c r="M96" s="197">
        <v>0</v>
      </c>
      <c r="N96" s="197">
        <v>0</v>
      </c>
      <c r="O96" s="197">
        <v>0</v>
      </c>
      <c r="P96" s="197">
        <v>3564094.4</v>
      </c>
      <c r="Q96" s="197">
        <v>0</v>
      </c>
      <c r="R96" s="197">
        <v>0</v>
      </c>
      <c r="S96" s="197">
        <v>0</v>
      </c>
      <c r="T96" s="197">
        <v>41315.599999999999</v>
      </c>
      <c r="U96" s="221" t="s">
        <v>488</v>
      </c>
      <c r="V96" s="182"/>
      <c r="W96" s="182" t="s">
        <v>31</v>
      </c>
      <c r="X96" s="195">
        <v>33300</v>
      </c>
      <c r="Y96" s="195">
        <v>35109</v>
      </c>
      <c r="Z96" s="195" t="s">
        <v>32</v>
      </c>
      <c r="AA96" s="176"/>
      <c r="AB96" s="181">
        <f>P96-K96</f>
        <v>-72507</v>
      </c>
      <c r="AC96" s="103">
        <f t="shared" si="5"/>
        <v>-72507</v>
      </c>
      <c r="AD96" s="19"/>
      <c r="AE96" s="2"/>
      <c r="AJ96" s="143">
        <f>P96-K96</f>
        <v>-72507</v>
      </c>
      <c r="AN96" s="94" t="s">
        <v>292</v>
      </c>
    </row>
    <row r="97" spans="1:40" ht="409.6" customHeight="1" x14ac:dyDescent="0.65">
      <c r="A97" s="74" t="s">
        <v>464</v>
      </c>
      <c r="B97" s="179" t="s">
        <v>347</v>
      </c>
      <c r="C97" s="181" t="s">
        <v>27</v>
      </c>
      <c r="D97" s="197">
        <v>5060415</v>
      </c>
      <c r="E97" s="197">
        <v>0</v>
      </c>
      <c r="F97" s="197">
        <v>0</v>
      </c>
      <c r="G97" s="192">
        <v>0</v>
      </c>
      <c r="H97" s="192">
        <v>0</v>
      </c>
      <c r="I97" s="192">
        <v>5140415</v>
      </c>
      <c r="J97" s="192">
        <v>0</v>
      </c>
      <c r="K97" s="197">
        <v>0</v>
      </c>
      <c r="L97" s="192">
        <v>0</v>
      </c>
      <c r="M97" s="192">
        <v>0</v>
      </c>
      <c r="N97" s="192">
        <v>5119918.5999999996</v>
      </c>
      <c r="O97" s="192">
        <v>0</v>
      </c>
      <c r="P97" s="192">
        <v>0</v>
      </c>
      <c r="Q97" s="192">
        <v>0</v>
      </c>
      <c r="R97" s="192">
        <v>0</v>
      </c>
      <c r="S97" s="192">
        <v>0</v>
      </c>
      <c r="T97" s="192">
        <v>0</v>
      </c>
      <c r="U97" s="74" t="s">
        <v>568</v>
      </c>
      <c r="V97" s="18"/>
      <c r="W97" s="74" t="s">
        <v>31</v>
      </c>
      <c r="X97" s="183">
        <v>48000</v>
      </c>
      <c r="Y97" s="183">
        <v>45709</v>
      </c>
      <c r="Z97" s="182" t="s">
        <v>373</v>
      </c>
      <c r="AA97" s="179" t="s">
        <v>444</v>
      </c>
      <c r="AB97" s="181">
        <f>N97-I97</f>
        <v>-20496.400000000373</v>
      </c>
      <c r="AC97" s="103">
        <f>N97-I97</f>
        <v>-20496.400000000373</v>
      </c>
      <c r="AD97" s="19"/>
      <c r="AE97" s="2"/>
      <c r="AJ97" s="112">
        <f>N97-I97</f>
        <v>-20496.400000000373</v>
      </c>
      <c r="AN97" s="94" t="s">
        <v>292</v>
      </c>
    </row>
    <row r="98" spans="1:40" ht="375" customHeight="1" x14ac:dyDescent="0.65">
      <c r="A98" s="74" t="s">
        <v>465</v>
      </c>
      <c r="B98" s="179" t="s">
        <v>280</v>
      </c>
      <c r="C98" s="196" t="s">
        <v>27</v>
      </c>
      <c r="D98" s="197">
        <v>10638609.4</v>
      </c>
      <c r="E98" s="197">
        <v>3364623.3</v>
      </c>
      <c r="F98" s="192">
        <v>0</v>
      </c>
      <c r="G98" s="192">
        <v>0</v>
      </c>
      <c r="H98" s="192">
        <v>0</v>
      </c>
      <c r="I98" s="192">
        <v>10030624.5</v>
      </c>
      <c r="J98" s="192">
        <v>0</v>
      </c>
      <c r="K98" s="197">
        <f>3167565.6+108315.1</f>
        <v>3275880.7</v>
      </c>
      <c r="L98" s="192">
        <v>0</v>
      </c>
      <c r="M98" s="192">
        <v>0</v>
      </c>
      <c r="N98" s="192">
        <v>9800145.5999999996</v>
      </c>
      <c r="O98" s="192">
        <v>0</v>
      </c>
      <c r="P98" s="192">
        <v>3098578</v>
      </c>
      <c r="Q98" s="192">
        <v>0</v>
      </c>
      <c r="R98" s="192">
        <v>0</v>
      </c>
      <c r="S98" s="192">
        <v>0</v>
      </c>
      <c r="T98" s="192">
        <v>3795.2</v>
      </c>
      <c r="U98" s="74" t="s">
        <v>560</v>
      </c>
      <c r="V98" s="18"/>
      <c r="W98" s="74" t="s">
        <v>31</v>
      </c>
      <c r="X98" s="183">
        <v>226055</v>
      </c>
      <c r="Y98" s="183">
        <v>232007</v>
      </c>
      <c r="Z98" s="182" t="s">
        <v>32</v>
      </c>
      <c r="AA98" s="179"/>
      <c r="AB98" s="181">
        <f>(P98+N98)-(K98+I98)</f>
        <v>-407781.59999999963</v>
      </c>
      <c r="AC98" s="103">
        <f>(N98+P98)-(I98+K98)</f>
        <v>-407781.59999999963</v>
      </c>
      <c r="AD98" s="19"/>
      <c r="AE98" s="2"/>
      <c r="AJ98" s="112">
        <f>(P98+N98)-(I98+K98)</f>
        <v>-407781.59999999963</v>
      </c>
      <c r="AN98" s="94" t="s">
        <v>292</v>
      </c>
    </row>
    <row r="99" spans="1:40" ht="223.5" customHeight="1" x14ac:dyDescent="0.65">
      <c r="A99" s="75" t="s">
        <v>43</v>
      </c>
      <c r="B99" s="179" t="s">
        <v>120</v>
      </c>
      <c r="C99" s="196" t="s">
        <v>27</v>
      </c>
      <c r="D99" s="197">
        <v>0</v>
      </c>
      <c r="E99" s="197">
        <v>17241.400000000001</v>
      </c>
      <c r="F99" s="192">
        <v>0</v>
      </c>
      <c r="G99" s="192">
        <v>0</v>
      </c>
      <c r="H99" s="192">
        <v>0</v>
      </c>
      <c r="I99" s="192">
        <v>0</v>
      </c>
      <c r="J99" s="192">
        <v>0</v>
      </c>
      <c r="K99" s="192">
        <v>17241.400000000001</v>
      </c>
      <c r="L99" s="192">
        <v>0</v>
      </c>
      <c r="M99" s="192">
        <v>0</v>
      </c>
      <c r="N99" s="192">
        <v>0</v>
      </c>
      <c r="O99" s="192">
        <v>0</v>
      </c>
      <c r="P99" s="192">
        <v>17241.400000000001</v>
      </c>
      <c r="Q99" s="192">
        <v>0</v>
      </c>
      <c r="R99" s="192">
        <v>0</v>
      </c>
      <c r="S99" s="192">
        <v>0</v>
      </c>
      <c r="T99" s="192">
        <v>0</v>
      </c>
      <c r="U99" s="74"/>
      <c r="V99" s="18"/>
      <c r="W99" s="18" t="s">
        <v>44</v>
      </c>
      <c r="X99" s="180">
        <v>15</v>
      </c>
      <c r="Y99" s="180">
        <v>15</v>
      </c>
      <c r="Z99" s="182" t="s">
        <v>32</v>
      </c>
      <c r="AA99" s="179"/>
      <c r="AB99" s="179"/>
      <c r="AC99" s="103">
        <f t="shared" si="5"/>
        <v>0</v>
      </c>
      <c r="AD99" s="19"/>
      <c r="AE99" s="2"/>
      <c r="AJ99" s="112">
        <f>P99-K99</f>
        <v>0</v>
      </c>
      <c r="AN99" s="94" t="s">
        <v>293</v>
      </c>
    </row>
    <row r="100" spans="1:40" ht="409.6" customHeight="1" x14ac:dyDescent="0.65">
      <c r="A100" s="198" t="s">
        <v>45</v>
      </c>
      <c r="B100" s="179" t="s">
        <v>121</v>
      </c>
      <c r="C100" s="196" t="s">
        <v>27</v>
      </c>
      <c r="D100" s="192">
        <v>0</v>
      </c>
      <c r="E100" s="192">
        <v>77241.5</v>
      </c>
      <c r="F100" s="192">
        <v>0</v>
      </c>
      <c r="G100" s="192">
        <v>0</v>
      </c>
      <c r="H100" s="192">
        <v>0</v>
      </c>
      <c r="I100" s="192">
        <v>0</v>
      </c>
      <c r="J100" s="192">
        <v>0</v>
      </c>
      <c r="K100" s="192">
        <v>77241.5</v>
      </c>
      <c r="L100" s="192">
        <v>0</v>
      </c>
      <c r="M100" s="192">
        <v>0</v>
      </c>
      <c r="N100" s="192">
        <v>0</v>
      </c>
      <c r="O100" s="192">
        <v>0</v>
      </c>
      <c r="P100" s="192">
        <v>77200</v>
      </c>
      <c r="Q100" s="192">
        <v>0</v>
      </c>
      <c r="R100" s="192">
        <v>0</v>
      </c>
      <c r="S100" s="192">
        <v>0</v>
      </c>
      <c r="T100" s="192">
        <v>0</v>
      </c>
      <c r="U100" s="222" t="s">
        <v>571</v>
      </c>
      <c r="V100" s="180"/>
      <c r="W100" s="180" t="s">
        <v>31</v>
      </c>
      <c r="X100" s="183">
        <v>242</v>
      </c>
      <c r="Y100" s="183">
        <v>242</v>
      </c>
      <c r="Z100" s="182" t="s">
        <v>32</v>
      </c>
      <c r="AA100" s="179"/>
      <c r="AB100" s="181">
        <f>P100-K100</f>
        <v>-41.5</v>
      </c>
      <c r="AC100" s="103">
        <f t="shared" si="5"/>
        <v>-41.5</v>
      </c>
      <c r="AD100" s="108"/>
      <c r="AE100" s="26"/>
      <c r="AJ100" s="113">
        <f>P100-K100</f>
        <v>-41.5</v>
      </c>
      <c r="AN100" s="94" t="s">
        <v>294</v>
      </c>
    </row>
    <row r="101" spans="1:40" ht="409.6" customHeight="1" x14ac:dyDescent="0.65">
      <c r="A101" s="198" t="s">
        <v>47</v>
      </c>
      <c r="B101" s="179" t="s">
        <v>122</v>
      </c>
      <c r="C101" s="196" t="s">
        <v>27</v>
      </c>
      <c r="D101" s="192">
        <v>0</v>
      </c>
      <c r="E101" s="197">
        <v>1409693.8</v>
      </c>
      <c r="F101" s="197">
        <v>0</v>
      </c>
      <c r="G101" s="192">
        <v>0</v>
      </c>
      <c r="H101" s="192">
        <v>0</v>
      </c>
      <c r="I101" s="192">
        <v>0</v>
      </c>
      <c r="J101" s="192">
        <v>0</v>
      </c>
      <c r="K101" s="197">
        <v>1409693.8</v>
      </c>
      <c r="L101" s="192">
        <v>0</v>
      </c>
      <c r="M101" s="192">
        <v>0</v>
      </c>
      <c r="N101" s="192">
        <v>0</v>
      </c>
      <c r="O101" s="192">
        <v>0</v>
      </c>
      <c r="P101" s="192">
        <v>1393650.2</v>
      </c>
      <c r="Q101" s="192">
        <v>0</v>
      </c>
      <c r="R101" s="192">
        <v>0</v>
      </c>
      <c r="S101" s="192">
        <v>0</v>
      </c>
      <c r="T101" s="192">
        <v>19436.099999999999</v>
      </c>
      <c r="U101" s="221" t="s">
        <v>534</v>
      </c>
      <c r="V101" s="180"/>
      <c r="W101" s="182" t="s">
        <v>31</v>
      </c>
      <c r="X101" s="183">
        <v>290000</v>
      </c>
      <c r="Y101" s="195">
        <v>298052</v>
      </c>
      <c r="Z101" s="182" t="s">
        <v>32</v>
      </c>
      <c r="AA101" s="179"/>
      <c r="AB101" s="181">
        <f>P101-K101</f>
        <v>-16043.600000000093</v>
      </c>
      <c r="AC101" s="103">
        <f t="shared" si="5"/>
        <v>-16043.600000000093</v>
      </c>
      <c r="AD101" s="19"/>
      <c r="AE101" s="2"/>
      <c r="AJ101" s="112">
        <f>P101-K101</f>
        <v>-16043.600000000093</v>
      </c>
      <c r="AN101" s="94" t="s">
        <v>292</v>
      </c>
    </row>
    <row r="102" spans="1:40" ht="409.6" customHeight="1" x14ac:dyDescent="0.65">
      <c r="A102" s="182" t="s">
        <v>98</v>
      </c>
      <c r="B102" s="179" t="s">
        <v>123</v>
      </c>
      <c r="C102" s="196" t="s">
        <v>27</v>
      </c>
      <c r="D102" s="197">
        <v>37175.9</v>
      </c>
      <c r="E102" s="192">
        <v>0</v>
      </c>
      <c r="F102" s="192">
        <v>0</v>
      </c>
      <c r="G102" s="192">
        <v>0</v>
      </c>
      <c r="H102" s="192">
        <v>0</v>
      </c>
      <c r="I102" s="197">
        <v>37175.9</v>
      </c>
      <c r="J102" s="192">
        <v>0</v>
      </c>
      <c r="K102" s="192">
        <v>0</v>
      </c>
      <c r="L102" s="192">
        <v>0</v>
      </c>
      <c r="M102" s="192">
        <v>0</v>
      </c>
      <c r="N102" s="192">
        <v>36489.699999999997</v>
      </c>
      <c r="O102" s="192">
        <v>0</v>
      </c>
      <c r="P102" s="192">
        <v>0</v>
      </c>
      <c r="Q102" s="192">
        <v>0</v>
      </c>
      <c r="R102" s="192">
        <v>0</v>
      </c>
      <c r="S102" s="192">
        <v>0</v>
      </c>
      <c r="T102" s="192">
        <v>0</v>
      </c>
      <c r="U102" s="221" t="s">
        <v>535</v>
      </c>
      <c r="V102" s="180"/>
      <c r="W102" s="180" t="s">
        <v>31</v>
      </c>
      <c r="X102" s="183">
        <v>1600</v>
      </c>
      <c r="Y102" s="180">
        <v>1663</v>
      </c>
      <c r="Z102" s="182" t="s">
        <v>32</v>
      </c>
      <c r="AA102" s="179"/>
      <c r="AB102" s="181">
        <f>N102-I102</f>
        <v>-686.20000000000437</v>
      </c>
      <c r="AC102" s="103">
        <f>N102-I102</f>
        <v>-686.20000000000437</v>
      </c>
      <c r="AD102" s="19"/>
      <c r="AE102" s="2"/>
      <c r="AJ102" s="112">
        <f>N102-I102</f>
        <v>-686.20000000000437</v>
      </c>
      <c r="AN102" s="94" t="s">
        <v>294</v>
      </c>
    </row>
    <row r="103" spans="1:40" ht="409.6" customHeight="1" x14ac:dyDescent="0.65">
      <c r="A103" s="182" t="s">
        <v>102</v>
      </c>
      <c r="B103" s="179" t="s">
        <v>124</v>
      </c>
      <c r="C103" s="196" t="s">
        <v>27</v>
      </c>
      <c r="D103" s="197">
        <v>0</v>
      </c>
      <c r="E103" s="197">
        <v>523891.7</v>
      </c>
      <c r="F103" s="192">
        <v>0</v>
      </c>
      <c r="G103" s="192">
        <v>0</v>
      </c>
      <c r="H103" s="192">
        <v>0</v>
      </c>
      <c r="I103" s="197">
        <v>0</v>
      </c>
      <c r="J103" s="192">
        <v>0</v>
      </c>
      <c r="K103" s="197">
        <v>523891.7</v>
      </c>
      <c r="L103" s="192">
        <v>0</v>
      </c>
      <c r="M103" s="192">
        <v>0</v>
      </c>
      <c r="N103" s="192">
        <v>0</v>
      </c>
      <c r="O103" s="192">
        <v>0</v>
      </c>
      <c r="P103" s="192">
        <v>515664.8</v>
      </c>
      <c r="Q103" s="192">
        <v>0</v>
      </c>
      <c r="R103" s="192">
        <v>0</v>
      </c>
      <c r="S103" s="192">
        <v>0</v>
      </c>
      <c r="T103" s="192">
        <v>2073.8000000000002</v>
      </c>
      <c r="U103" s="221" t="s">
        <v>579</v>
      </c>
      <c r="V103" s="180"/>
      <c r="W103" s="180" t="s">
        <v>31</v>
      </c>
      <c r="X103" s="183">
        <v>3600</v>
      </c>
      <c r="Y103" s="183">
        <v>4831</v>
      </c>
      <c r="Z103" s="182" t="s">
        <v>32</v>
      </c>
      <c r="AA103" s="179"/>
      <c r="AB103" s="181">
        <f>P103-K103</f>
        <v>-8226.9000000000233</v>
      </c>
      <c r="AC103" s="103">
        <f t="shared" si="5"/>
        <v>-8226.9000000000233</v>
      </c>
      <c r="AD103" s="19"/>
      <c r="AE103" s="2"/>
      <c r="AH103" s="12">
        <f>P103/K103*100</f>
        <v>98.429656358365662</v>
      </c>
      <c r="AJ103" s="112">
        <f>P103-K103</f>
        <v>-8226.9000000000233</v>
      </c>
      <c r="AN103" s="94" t="s">
        <v>285</v>
      </c>
    </row>
    <row r="104" spans="1:40" ht="214.5" customHeight="1" x14ac:dyDescent="0.65">
      <c r="A104" s="182" t="s">
        <v>104</v>
      </c>
      <c r="B104" s="179" t="s">
        <v>376</v>
      </c>
      <c r="C104" s="196" t="s">
        <v>27</v>
      </c>
      <c r="D104" s="197">
        <v>0</v>
      </c>
      <c r="E104" s="197">
        <v>203.5</v>
      </c>
      <c r="F104" s="192">
        <v>0</v>
      </c>
      <c r="G104" s="192">
        <v>0</v>
      </c>
      <c r="H104" s="192">
        <v>0</v>
      </c>
      <c r="I104" s="197">
        <v>0</v>
      </c>
      <c r="J104" s="192">
        <v>0</v>
      </c>
      <c r="K104" s="197">
        <v>203.5</v>
      </c>
      <c r="L104" s="192">
        <v>0</v>
      </c>
      <c r="M104" s="192">
        <v>0</v>
      </c>
      <c r="N104" s="192">
        <v>0</v>
      </c>
      <c r="O104" s="192">
        <v>0</v>
      </c>
      <c r="P104" s="192">
        <v>203.5</v>
      </c>
      <c r="Q104" s="192">
        <v>0</v>
      </c>
      <c r="R104" s="192">
        <v>0</v>
      </c>
      <c r="S104" s="192">
        <v>0</v>
      </c>
      <c r="T104" s="192">
        <v>203.5</v>
      </c>
      <c r="U104" s="221"/>
      <c r="V104" s="180"/>
      <c r="W104" s="180" t="s">
        <v>125</v>
      </c>
      <c r="X104" s="183">
        <v>6950</v>
      </c>
      <c r="Y104" s="183">
        <v>6950</v>
      </c>
      <c r="Z104" s="182" t="s">
        <v>32</v>
      </c>
      <c r="AA104" s="179"/>
      <c r="AB104" s="181">
        <f t="shared" ref="AB104:AB105" si="6">P104-K104</f>
        <v>0</v>
      </c>
      <c r="AC104" s="103">
        <f t="shared" si="5"/>
        <v>0</v>
      </c>
      <c r="AD104" s="19"/>
      <c r="AE104" s="2"/>
      <c r="AJ104" s="112"/>
      <c r="AN104" s="94" t="s">
        <v>293</v>
      </c>
    </row>
    <row r="105" spans="1:40" ht="409.6" customHeight="1" x14ac:dyDescent="0.65">
      <c r="A105" s="233" t="s">
        <v>48</v>
      </c>
      <c r="B105" s="237" t="s">
        <v>312</v>
      </c>
      <c r="C105" s="236" t="s">
        <v>27</v>
      </c>
      <c r="D105" s="234">
        <v>0</v>
      </c>
      <c r="E105" s="235">
        <v>1952933</v>
      </c>
      <c r="F105" s="235">
        <v>0</v>
      </c>
      <c r="G105" s="234">
        <v>0</v>
      </c>
      <c r="H105" s="234">
        <v>0</v>
      </c>
      <c r="I105" s="234">
        <v>0</v>
      </c>
      <c r="J105" s="234">
        <v>0</v>
      </c>
      <c r="K105" s="234">
        <v>1952933</v>
      </c>
      <c r="L105" s="234">
        <v>0</v>
      </c>
      <c r="M105" s="234">
        <v>0</v>
      </c>
      <c r="N105" s="234">
        <v>0</v>
      </c>
      <c r="O105" s="234">
        <v>0</v>
      </c>
      <c r="P105" s="234">
        <v>1912146</v>
      </c>
      <c r="Q105" s="234">
        <v>0</v>
      </c>
      <c r="R105" s="234">
        <v>0</v>
      </c>
      <c r="S105" s="234">
        <v>0</v>
      </c>
      <c r="T105" s="234">
        <v>0</v>
      </c>
      <c r="U105" s="237" t="s">
        <v>561</v>
      </c>
      <c r="V105" s="239"/>
      <c r="W105" s="239" t="s">
        <v>31</v>
      </c>
      <c r="X105" s="257">
        <v>14743</v>
      </c>
      <c r="Y105" s="240">
        <v>14853</v>
      </c>
      <c r="Z105" s="238" t="s">
        <v>32</v>
      </c>
      <c r="AA105" s="250"/>
      <c r="AB105" s="181">
        <f t="shared" si="6"/>
        <v>-40787</v>
      </c>
      <c r="AC105" s="103">
        <f t="shared" si="5"/>
        <v>-40787</v>
      </c>
      <c r="AD105" s="19"/>
      <c r="AE105" s="21"/>
      <c r="AH105" s="12">
        <f>P105/K105*100</f>
        <v>97.911500292124714</v>
      </c>
      <c r="AJ105" s="234">
        <f>P105-K105</f>
        <v>-40787</v>
      </c>
      <c r="AN105" s="94" t="s">
        <v>294</v>
      </c>
    </row>
    <row r="106" spans="1:40" ht="264.75" customHeight="1" x14ac:dyDescent="0.65">
      <c r="A106" s="233"/>
      <c r="B106" s="237"/>
      <c r="C106" s="236"/>
      <c r="D106" s="234"/>
      <c r="E106" s="235"/>
      <c r="F106" s="235"/>
      <c r="G106" s="234"/>
      <c r="H106" s="234"/>
      <c r="I106" s="234"/>
      <c r="J106" s="234"/>
      <c r="K106" s="234"/>
      <c r="L106" s="234"/>
      <c r="M106" s="234"/>
      <c r="N106" s="234"/>
      <c r="O106" s="234"/>
      <c r="P106" s="234"/>
      <c r="Q106" s="234"/>
      <c r="R106" s="234"/>
      <c r="S106" s="234"/>
      <c r="T106" s="234"/>
      <c r="U106" s="237"/>
      <c r="V106" s="239"/>
      <c r="W106" s="239"/>
      <c r="X106" s="257"/>
      <c r="Y106" s="240"/>
      <c r="Z106" s="238"/>
      <c r="AA106" s="251"/>
      <c r="AB106" s="179"/>
      <c r="AC106" s="103"/>
      <c r="AD106" s="19"/>
      <c r="AE106" s="2"/>
      <c r="AH106" s="12"/>
      <c r="AJ106" s="234"/>
    </row>
    <row r="107" spans="1:40" ht="409.5" customHeight="1" x14ac:dyDescent="0.65">
      <c r="A107" s="233" t="s">
        <v>49</v>
      </c>
      <c r="B107" s="237" t="s">
        <v>348</v>
      </c>
      <c r="C107" s="236" t="s">
        <v>27</v>
      </c>
      <c r="D107" s="234">
        <v>0</v>
      </c>
      <c r="E107" s="235">
        <v>1672359.4</v>
      </c>
      <c r="F107" s="235">
        <v>0</v>
      </c>
      <c r="G107" s="234">
        <v>0</v>
      </c>
      <c r="H107" s="234">
        <v>0</v>
      </c>
      <c r="I107" s="234">
        <v>0</v>
      </c>
      <c r="J107" s="234">
        <v>0</v>
      </c>
      <c r="K107" s="234">
        <v>1672359.4</v>
      </c>
      <c r="L107" s="234">
        <v>0</v>
      </c>
      <c r="M107" s="234">
        <v>0</v>
      </c>
      <c r="N107" s="234">
        <v>0</v>
      </c>
      <c r="O107" s="234">
        <v>0</v>
      </c>
      <c r="P107" s="234">
        <v>1599842.1</v>
      </c>
      <c r="Q107" s="234">
        <v>0</v>
      </c>
      <c r="R107" s="234">
        <v>0</v>
      </c>
      <c r="S107" s="234">
        <v>0</v>
      </c>
      <c r="T107" s="234">
        <v>0</v>
      </c>
      <c r="U107" s="237" t="s">
        <v>562</v>
      </c>
      <c r="V107" s="239"/>
      <c r="W107" s="239" t="s">
        <v>31</v>
      </c>
      <c r="X107" s="240">
        <v>8612</v>
      </c>
      <c r="Y107" s="240">
        <v>8615</v>
      </c>
      <c r="Z107" s="238" t="s">
        <v>32</v>
      </c>
      <c r="AA107" s="265"/>
      <c r="AB107" s="181">
        <f>P107-K107</f>
        <v>-72517.299999999814</v>
      </c>
      <c r="AC107" s="103">
        <f t="shared" si="5"/>
        <v>-72517.299999999814</v>
      </c>
      <c r="AD107" s="19"/>
      <c r="AE107" s="2"/>
      <c r="AH107" s="12">
        <f>P107/K107*100</f>
        <v>95.663772990422999</v>
      </c>
      <c r="AJ107" s="234">
        <f>P107-K107</f>
        <v>-72517.299999999814</v>
      </c>
      <c r="AN107" s="94" t="s">
        <v>294</v>
      </c>
    </row>
    <row r="108" spans="1:40" ht="237.75" customHeight="1" x14ac:dyDescent="0.65">
      <c r="A108" s="233"/>
      <c r="B108" s="237"/>
      <c r="C108" s="236"/>
      <c r="D108" s="234"/>
      <c r="E108" s="235"/>
      <c r="F108" s="235"/>
      <c r="G108" s="234"/>
      <c r="H108" s="234"/>
      <c r="I108" s="234"/>
      <c r="J108" s="234"/>
      <c r="K108" s="234"/>
      <c r="L108" s="234"/>
      <c r="M108" s="234"/>
      <c r="N108" s="234"/>
      <c r="O108" s="234"/>
      <c r="P108" s="234"/>
      <c r="Q108" s="234"/>
      <c r="R108" s="234"/>
      <c r="S108" s="234"/>
      <c r="T108" s="234"/>
      <c r="U108" s="237"/>
      <c r="V108" s="239"/>
      <c r="W108" s="239"/>
      <c r="X108" s="240"/>
      <c r="Y108" s="240"/>
      <c r="Z108" s="238"/>
      <c r="AA108" s="266"/>
      <c r="AB108" s="179"/>
      <c r="AC108" s="103"/>
      <c r="AD108" s="19"/>
      <c r="AE108" s="2"/>
      <c r="AH108" s="12"/>
      <c r="AJ108" s="234"/>
    </row>
    <row r="109" spans="1:40" ht="409.5" customHeight="1" x14ac:dyDescent="0.65">
      <c r="A109" s="233" t="s">
        <v>126</v>
      </c>
      <c r="B109" s="237" t="s">
        <v>349</v>
      </c>
      <c r="C109" s="236" t="s">
        <v>27</v>
      </c>
      <c r="D109" s="234">
        <v>0</v>
      </c>
      <c r="E109" s="235">
        <v>12352</v>
      </c>
      <c r="F109" s="235">
        <v>0</v>
      </c>
      <c r="G109" s="234">
        <v>0</v>
      </c>
      <c r="H109" s="234">
        <v>0</v>
      </c>
      <c r="I109" s="234">
        <v>0</v>
      </c>
      <c r="J109" s="234">
        <v>0</v>
      </c>
      <c r="K109" s="234">
        <v>12352</v>
      </c>
      <c r="L109" s="234">
        <v>0</v>
      </c>
      <c r="M109" s="234">
        <v>0</v>
      </c>
      <c r="N109" s="234">
        <v>0</v>
      </c>
      <c r="O109" s="234">
        <v>0</v>
      </c>
      <c r="P109" s="234">
        <v>9204.6</v>
      </c>
      <c r="Q109" s="234">
        <v>0</v>
      </c>
      <c r="R109" s="234">
        <v>0</v>
      </c>
      <c r="S109" s="234">
        <v>0</v>
      </c>
      <c r="T109" s="234">
        <v>0</v>
      </c>
      <c r="U109" s="237" t="s">
        <v>563</v>
      </c>
      <c r="V109" s="239"/>
      <c r="W109" s="239" t="s">
        <v>31</v>
      </c>
      <c r="X109" s="239">
        <v>152</v>
      </c>
      <c r="Y109" s="239">
        <v>156</v>
      </c>
      <c r="Z109" s="238" t="s">
        <v>32</v>
      </c>
      <c r="AA109" s="250"/>
      <c r="AB109" s="181">
        <f>P109-K109</f>
        <v>-3147.3999999999996</v>
      </c>
      <c r="AC109" s="103">
        <f t="shared" si="5"/>
        <v>-3147.3999999999996</v>
      </c>
      <c r="AD109" s="106"/>
      <c r="AE109" s="23"/>
      <c r="AJ109" s="234">
        <f>P109-K109</f>
        <v>-3147.3999999999996</v>
      </c>
      <c r="AN109" s="94" t="s">
        <v>294</v>
      </c>
    </row>
    <row r="110" spans="1:40" ht="228.75" customHeight="1" x14ac:dyDescent="0.65">
      <c r="A110" s="233"/>
      <c r="B110" s="237"/>
      <c r="C110" s="236"/>
      <c r="D110" s="234"/>
      <c r="E110" s="235"/>
      <c r="F110" s="235"/>
      <c r="G110" s="234"/>
      <c r="H110" s="234"/>
      <c r="I110" s="234"/>
      <c r="J110" s="234"/>
      <c r="K110" s="234"/>
      <c r="L110" s="234"/>
      <c r="M110" s="234"/>
      <c r="N110" s="234"/>
      <c r="O110" s="234"/>
      <c r="P110" s="234"/>
      <c r="Q110" s="234"/>
      <c r="R110" s="234"/>
      <c r="S110" s="234"/>
      <c r="T110" s="234"/>
      <c r="U110" s="237"/>
      <c r="V110" s="239"/>
      <c r="W110" s="239"/>
      <c r="X110" s="239"/>
      <c r="Y110" s="239"/>
      <c r="Z110" s="238"/>
      <c r="AA110" s="251"/>
      <c r="AB110" s="179"/>
      <c r="AC110" s="103"/>
      <c r="AD110" s="106"/>
      <c r="AE110" s="23"/>
      <c r="AJ110" s="234"/>
    </row>
    <row r="111" spans="1:40" ht="408.75" customHeight="1" x14ac:dyDescent="0.65">
      <c r="A111" s="233" t="s">
        <v>127</v>
      </c>
      <c r="B111" s="237" t="s">
        <v>320</v>
      </c>
      <c r="C111" s="236" t="s">
        <v>27</v>
      </c>
      <c r="D111" s="234">
        <v>0</v>
      </c>
      <c r="E111" s="234">
        <v>14730.2</v>
      </c>
      <c r="F111" s="234">
        <v>0</v>
      </c>
      <c r="G111" s="234">
        <v>0</v>
      </c>
      <c r="H111" s="234">
        <v>0</v>
      </c>
      <c r="I111" s="234">
        <v>0</v>
      </c>
      <c r="J111" s="234">
        <v>0</v>
      </c>
      <c r="K111" s="234">
        <v>14730.2</v>
      </c>
      <c r="L111" s="234">
        <v>0</v>
      </c>
      <c r="M111" s="234">
        <v>0</v>
      </c>
      <c r="N111" s="234">
        <v>0</v>
      </c>
      <c r="O111" s="234">
        <v>0</v>
      </c>
      <c r="P111" s="234">
        <v>10686.7</v>
      </c>
      <c r="Q111" s="234">
        <v>0</v>
      </c>
      <c r="R111" s="234">
        <v>0</v>
      </c>
      <c r="S111" s="234">
        <v>0</v>
      </c>
      <c r="T111" s="234">
        <v>0</v>
      </c>
      <c r="U111" s="237" t="s">
        <v>564</v>
      </c>
      <c r="V111" s="239"/>
      <c r="W111" s="239" t="s">
        <v>31</v>
      </c>
      <c r="X111" s="239">
        <v>152</v>
      </c>
      <c r="Y111" s="239">
        <v>156</v>
      </c>
      <c r="Z111" s="238" t="s">
        <v>32</v>
      </c>
      <c r="AA111" s="250"/>
      <c r="AB111" s="181">
        <f>P111-K111</f>
        <v>-4043.5</v>
      </c>
      <c r="AC111" s="103">
        <f t="shared" si="5"/>
        <v>-4043.5</v>
      </c>
      <c r="AD111" s="19"/>
      <c r="AE111" s="2"/>
      <c r="AH111" s="12">
        <f>P111/K111*100</f>
        <v>72.549591994677598</v>
      </c>
      <c r="AI111" s="12">
        <f>P111-K111</f>
        <v>-4043.5</v>
      </c>
      <c r="AJ111" s="234">
        <f>P111-K111</f>
        <v>-4043.5</v>
      </c>
      <c r="AN111" s="94" t="s">
        <v>294</v>
      </c>
    </row>
    <row r="112" spans="1:40" ht="253.5" customHeight="1" x14ac:dyDescent="0.65">
      <c r="A112" s="233"/>
      <c r="B112" s="237"/>
      <c r="C112" s="236"/>
      <c r="D112" s="234"/>
      <c r="E112" s="234"/>
      <c r="F112" s="234"/>
      <c r="G112" s="234"/>
      <c r="H112" s="234"/>
      <c r="I112" s="234"/>
      <c r="J112" s="234"/>
      <c r="K112" s="234"/>
      <c r="L112" s="234"/>
      <c r="M112" s="234"/>
      <c r="N112" s="234"/>
      <c r="O112" s="234"/>
      <c r="P112" s="234"/>
      <c r="Q112" s="234"/>
      <c r="R112" s="234"/>
      <c r="S112" s="234"/>
      <c r="T112" s="234"/>
      <c r="U112" s="237"/>
      <c r="V112" s="239"/>
      <c r="W112" s="239"/>
      <c r="X112" s="239"/>
      <c r="Y112" s="239"/>
      <c r="Z112" s="238"/>
      <c r="AA112" s="251"/>
      <c r="AB112" s="179"/>
      <c r="AC112" s="103"/>
      <c r="AD112" s="19"/>
      <c r="AE112" s="2"/>
      <c r="AH112" s="12"/>
      <c r="AI112" s="12"/>
      <c r="AJ112" s="234"/>
    </row>
    <row r="113" spans="1:40" ht="409.6" customHeight="1" x14ac:dyDescent="0.65">
      <c r="A113" s="233" t="s">
        <v>128</v>
      </c>
      <c r="B113" s="237" t="s">
        <v>283</v>
      </c>
      <c r="C113" s="236" t="s">
        <v>27</v>
      </c>
      <c r="D113" s="234">
        <v>0</v>
      </c>
      <c r="E113" s="235">
        <v>389814.9</v>
      </c>
      <c r="F113" s="235">
        <v>0</v>
      </c>
      <c r="G113" s="234">
        <v>0</v>
      </c>
      <c r="H113" s="234">
        <v>0</v>
      </c>
      <c r="I113" s="234">
        <v>0</v>
      </c>
      <c r="J113" s="234">
        <v>0</v>
      </c>
      <c r="K113" s="234">
        <v>389814.9</v>
      </c>
      <c r="L113" s="234">
        <v>0</v>
      </c>
      <c r="M113" s="234">
        <v>0</v>
      </c>
      <c r="N113" s="234">
        <v>0</v>
      </c>
      <c r="O113" s="234">
        <v>0</v>
      </c>
      <c r="P113" s="234">
        <v>377149.6</v>
      </c>
      <c r="Q113" s="234">
        <v>0</v>
      </c>
      <c r="R113" s="234">
        <v>0</v>
      </c>
      <c r="S113" s="234">
        <v>0</v>
      </c>
      <c r="T113" s="234">
        <v>0</v>
      </c>
      <c r="U113" s="254" t="s">
        <v>590</v>
      </c>
      <c r="V113" s="239"/>
      <c r="W113" s="239" t="s">
        <v>31</v>
      </c>
      <c r="X113" s="239">
        <v>525</v>
      </c>
      <c r="Y113" s="239">
        <v>484</v>
      </c>
      <c r="Z113" s="238" t="s">
        <v>373</v>
      </c>
      <c r="AA113" s="237" t="s">
        <v>589</v>
      </c>
      <c r="AB113" s="181">
        <f>P113-K113</f>
        <v>-12665.300000000047</v>
      </c>
      <c r="AC113" s="103">
        <f t="shared" si="5"/>
        <v>-12665.300000000047</v>
      </c>
      <c r="AD113" s="19"/>
      <c r="AE113" s="2"/>
      <c r="AJ113" s="112">
        <f>P113-K113</f>
        <v>-12665.300000000047</v>
      </c>
      <c r="AN113" s="94" t="s">
        <v>294</v>
      </c>
    </row>
    <row r="114" spans="1:40" ht="344.25" customHeight="1" x14ac:dyDescent="0.65">
      <c r="A114" s="233"/>
      <c r="B114" s="237"/>
      <c r="C114" s="236"/>
      <c r="D114" s="234"/>
      <c r="E114" s="235"/>
      <c r="F114" s="235"/>
      <c r="G114" s="234"/>
      <c r="H114" s="234"/>
      <c r="I114" s="234"/>
      <c r="J114" s="234"/>
      <c r="K114" s="234"/>
      <c r="L114" s="234"/>
      <c r="M114" s="234"/>
      <c r="N114" s="234"/>
      <c r="O114" s="234"/>
      <c r="P114" s="234"/>
      <c r="Q114" s="234"/>
      <c r="R114" s="234"/>
      <c r="S114" s="234"/>
      <c r="T114" s="234"/>
      <c r="U114" s="254"/>
      <c r="V114" s="239"/>
      <c r="W114" s="239"/>
      <c r="X114" s="239"/>
      <c r="Y114" s="239"/>
      <c r="Z114" s="238"/>
      <c r="AA114" s="237"/>
      <c r="AB114" s="179"/>
      <c r="AC114" s="103">
        <f t="shared" si="5"/>
        <v>0</v>
      </c>
      <c r="AD114" s="19"/>
      <c r="AE114" s="2"/>
      <c r="AJ114" s="112"/>
    </row>
    <row r="115" spans="1:40" ht="408.75" customHeight="1" x14ac:dyDescent="0.65">
      <c r="A115" s="233" t="s">
        <v>129</v>
      </c>
      <c r="B115" s="237" t="s">
        <v>350</v>
      </c>
      <c r="C115" s="236" t="s">
        <v>27</v>
      </c>
      <c r="D115" s="234">
        <v>0</v>
      </c>
      <c r="E115" s="235">
        <v>28195.200000000001</v>
      </c>
      <c r="F115" s="235">
        <v>0</v>
      </c>
      <c r="G115" s="234">
        <v>0</v>
      </c>
      <c r="H115" s="234">
        <v>0</v>
      </c>
      <c r="I115" s="234">
        <v>0</v>
      </c>
      <c r="J115" s="234">
        <v>0</v>
      </c>
      <c r="K115" s="234">
        <v>28195.200000000001</v>
      </c>
      <c r="L115" s="234">
        <v>0</v>
      </c>
      <c r="M115" s="234">
        <v>0</v>
      </c>
      <c r="N115" s="234">
        <v>0</v>
      </c>
      <c r="O115" s="234">
        <v>0</v>
      </c>
      <c r="P115" s="234">
        <v>27110</v>
      </c>
      <c r="Q115" s="234">
        <v>0</v>
      </c>
      <c r="R115" s="234">
        <v>0</v>
      </c>
      <c r="S115" s="234">
        <v>0</v>
      </c>
      <c r="T115" s="234">
        <v>0</v>
      </c>
      <c r="U115" s="260" t="s">
        <v>489</v>
      </c>
      <c r="V115" s="239"/>
      <c r="W115" s="239" t="s">
        <v>31</v>
      </c>
      <c r="X115" s="239">
        <v>44</v>
      </c>
      <c r="Y115" s="239">
        <v>44</v>
      </c>
      <c r="Z115" s="238" t="s">
        <v>32</v>
      </c>
      <c r="AA115" s="258"/>
      <c r="AB115" s="90">
        <f>P115-K115</f>
        <v>-1085.2000000000007</v>
      </c>
      <c r="AC115" s="103">
        <f t="shared" si="5"/>
        <v>-1085.2000000000007</v>
      </c>
      <c r="AD115" s="19"/>
      <c r="AE115" s="2"/>
      <c r="AJ115" s="112">
        <f>P115-K115</f>
        <v>-1085.2000000000007</v>
      </c>
      <c r="AN115" s="94" t="s">
        <v>295</v>
      </c>
    </row>
    <row r="116" spans="1:40" ht="195" customHeight="1" x14ac:dyDescent="0.65">
      <c r="A116" s="233"/>
      <c r="B116" s="237"/>
      <c r="C116" s="236"/>
      <c r="D116" s="234"/>
      <c r="E116" s="235"/>
      <c r="F116" s="235"/>
      <c r="G116" s="234"/>
      <c r="H116" s="234"/>
      <c r="I116" s="234"/>
      <c r="J116" s="234"/>
      <c r="K116" s="234"/>
      <c r="L116" s="234"/>
      <c r="M116" s="234"/>
      <c r="N116" s="234"/>
      <c r="O116" s="234"/>
      <c r="P116" s="234"/>
      <c r="Q116" s="234"/>
      <c r="R116" s="234"/>
      <c r="S116" s="234"/>
      <c r="T116" s="234"/>
      <c r="U116" s="260"/>
      <c r="V116" s="239"/>
      <c r="W116" s="239"/>
      <c r="X116" s="239"/>
      <c r="Y116" s="239"/>
      <c r="Z116" s="238"/>
      <c r="AA116" s="258"/>
      <c r="AB116" s="185"/>
      <c r="AC116" s="103">
        <f t="shared" si="5"/>
        <v>0</v>
      </c>
      <c r="AD116" s="19"/>
      <c r="AE116" s="2"/>
      <c r="AJ116" s="112"/>
    </row>
    <row r="117" spans="1:40" ht="409.6" customHeight="1" x14ac:dyDescent="0.65">
      <c r="A117" s="198" t="s">
        <v>130</v>
      </c>
      <c r="B117" s="179" t="s">
        <v>351</v>
      </c>
      <c r="C117" s="196" t="s">
        <v>27</v>
      </c>
      <c r="D117" s="192">
        <v>0</v>
      </c>
      <c r="E117" s="192">
        <v>183274</v>
      </c>
      <c r="F117" s="192">
        <v>0</v>
      </c>
      <c r="G117" s="192">
        <v>0</v>
      </c>
      <c r="H117" s="192">
        <v>0</v>
      </c>
      <c r="I117" s="192">
        <v>0</v>
      </c>
      <c r="J117" s="192">
        <v>0</v>
      </c>
      <c r="K117" s="192">
        <v>183274</v>
      </c>
      <c r="L117" s="192">
        <v>0</v>
      </c>
      <c r="M117" s="192">
        <v>0</v>
      </c>
      <c r="N117" s="192">
        <v>0</v>
      </c>
      <c r="O117" s="192">
        <v>0</v>
      </c>
      <c r="P117" s="192">
        <v>175750.1</v>
      </c>
      <c r="Q117" s="192">
        <v>0</v>
      </c>
      <c r="R117" s="192">
        <v>0</v>
      </c>
      <c r="S117" s="192">
        <v>0</v>
      </c>
      <c r="T117" s="192">
        <v>0</v>
      </c>
      <c r="U117" s="201" t="s">
        <v>565</v>
      </c>
      <c r="V117" s="180"/>
      <c r="W117" s="180" t="s">
        <v>31</v>
      </c>
      <c r="X117" s="180">
        <v>212</v>
      </c>
      <c r="Y117" s="180">
        <v>208</v>
      </c>
      <c r="Z117" s="182" t="s">
        <v>373</v>
      </c>
      <c r="AA117" s="221" t="s">
        <v>583</v>
      </c>
      <c r="AB117" s="181">
        <f>P117-K117</f>
        <v>-7523.8999999999942</v>
      </c>
      <c r="AC117" s="103">
        <f t="shared" si="5"/>
        <v>-7523.8999999999942</v>
      </c>
      <c r="AD117" s="19"/>
      <c r="AE117" s="2"/>
      <c r="AJ117" s="112">
        <f>P117-K117</f>
        <v>-7523.8999999999942</v>
      </c>
      <c r="AN117" s="94" t="s">
        <v>296</v>
      </c>
    </row>
    <row r="118" spans="1:40" ht="409.6" customHeight="1" x14ac:dyDescent="0.65">
      <c r="A118" s="198" t="s">
        <v>131</v>
      </c>
      <c r="B118" s="179" t="s">
        <v>352</v>
      </c>
      <c r="C118" s="196" t="s">
        <v>27</v>
      </c>
      <c r="D118" s="192">
        <v>905.2</v>
      </c>
      <c r="E118" s="192">
        <v>0</v>
      </c>
      <c r="F118" s="192">
        <v>0</v>
      </c>
      <c r="G118" s="192">
        <v>0</v>
      </c>
      <c r="H118" s="192">
        <v>0</v>
      </c>
      <c r="I118" s="192">
        <v>905.2</v>
      </c>
      <c r="J118" s="192">
        <v>0</v>
      </c>
      <c r="K118" s="192">
        <v>0</v>
      </c>
      <c r="L118" s="192">
        <v>0</v>
      </c>
      <c r="M118" s="192">
        <v>0</v>
      </c>
      <c r="N118" s="192">
        <v>209.3</v>
      </c>
      <c r="O118" s="192">
        <v>0</v>
      </c>
      <c r="P118" s="192">
        <v>0</v>
      </c>
      <c r="Q118" s="192">
        <v>0</v>
      </c>
      <c r="R118" s="192">
        <v>0</v>
      </c>
      <c r="S118" s="192">
        <v>0</v>
      </c>
      <c r="T118" s="192">
        <v>209.2</v>
      </c>
      <c r="U118" s="201" t="s">
        <v>566</v>
      </c>
      <c r="V118" s="180"/>
      <c r="W118" s="180" t="s">
        <v>31</v>
      </c>
      <c r="X118" s="180">
        <v>10</v>
      </c>
      <c r="Y118" s="180">
        <v>6</v>
      </c>
      <c r="Z118" s="182" t="s">
        <v>373</v>
      </c>
      <c r="AA118" s="210" t="s">
        <v>433</v>
      </c>
      <c r="AB118" s="181">
        <f>N118-I118</f>
        <v>-695.90000000000009</v>
      </c>
      <c r="AC118" s="103">
        <f>N118-I118</f>
        <v>-695.90000000000009</v>
      </c>
      <c r="AD118" s="19"/>
      <c r="AE118" s="2"/>
      <c r="AJ118" s="112">
        <f>N118-I118</f>
        <v>-695.90000000000009</v>
      </c>
      <c r="AN118" s="94" t="s">
        <v>291</v>
      </c>
    </row>
    <row r="119" spans="1:40" ht="408.75" customHeight="1" x14ac:dyDescent="0.65">
      <c r="A119" s="233" t="s">
        <v>58</v>
      </c>
      <c r="B119" s="237" t="s">
        <v>132</v>
      </c>
      <c r="C119" s="236" t="s">
        <v>27</v>
      </c>
      <c r="D119" s="234">
        <v>0</v>
      </c>
      <c r="E119" s="234">
        <v>13033.4</v>
      </c>
      <c r="F119" s="234">
        <v>0</v>
      </c>
      <c r="G119" s="234">
        <v>0</v>
      </c>
      <c r="H119" s="234">
        <v>0</v>
      </c>
      <c r="I119" s="234">
        <v>0</v>
      </c>
      <c r="J119" s="234">
        <v>0</v>
      </c>
      <c r="K119" s="234">
        <v>13033.4</v>
      </c>
      <c r="L119" s="234">
        <v>0</v>
      </c>
      <c r="M119" s="234">
        <v>0</v>
      </c>
      <c r="N119" s="234">
        <v>0</v>
      </c>
      <c r="O119" s="234">
        <v>0</v>
      </c>
      <c r="P119" s="234">
        <v>4880.7</v>
      </c>
      <c r="Q119" s="234">
        <v>0</v>
      </c>
      <c r="R119" s="234">
        <v>0</v>
      </c>
      <c r="S119" s="234">
        <v>0</v>
      </c>
      <c r="T119" s="234">
        <v>0</v>
      </c>
      <c r="U119" s="237" t="s">
        <v>567</v>
      </c>
      <c r="V119" s="238"/>
      <c r="W119" s="239" t="s">
        <v>31</v>
      </c>
      <c r="X119" s="239">
        <v>807</v>
      </c>
      <c r="Y119" s="239">
        <v>714</v>
      </c>
      <c r="Z119" s="238" t="s">
        <v>373</v>
      </c>
      <c r="AA119" s="265" t="s">
        <v>427</v>
      </c>
      <c r="AB119" s="181">
        <f>P119-K119</f>
        <v>-8152.7</v>
      </c>
      <c r="AC119" s="103">
        <f t="shared" si="5"/>
        <v>-8152.7</v>
      </c>
      <c r="AD119" s="19"/>
      <c r="AE119" s="2"/>
      <c r="AJ119" s="112">
        <f>P119-K119</f>
        <v>-8152.7</v>
      </c>
      <c r="AN119" s="94" t="s">
        <v>297</v>
      </c>
    </row>
    <row r="120" spans="1:40" ht="333" customHeight="1" x14ac:dyDescent="0.65">
      <c r="A120" s="233"/>
      <c r="B120" s="237"/>
      <c r="C120" s="236"/>
      <c r="D120" s="234"/>
      <c r="E120" s="234"/>
      <c r="F120" s="234"/>
      <c r="G120" s="234"/>
      <c r="H120" s="234"/>
      <c r="I120" s="234"/>
      <c r="J120" s="234"/>
      <c r="K120" s="234"/>
      <c r="L120" s="234"/>
      <c r="M120" s="234"/>
      <c r="N120" s="234"/>
      <c r="O120" s="234"/>
      <c r="P120" s="234"/>
      <c r="Q120" s="234"/>
      <c r="R120" s="234"/>
      <c r="S120" s="234"/>
      <c r="T120" s="234"/>
      <c r="U120" s="237"/>
      <c r="V120" s="238"/>
      <c r="W120" s="239"/>
      <c r="X120" s="239"/>
      <c r="Y120" s="239"/>
      <c r="Z120" s="238"/>
      <c r="AA120" s="266"/>
      <c r="AB120" s="179"/>
      <c r="AC120" s="103"/>
      <c r="AD120" s="19"/>
      <c r="AE120" s="2"/>
      <c r="AJ120" s="110"/>
    </row>
    <row r="121" spans="1:40" ht="126" customHeight="1" x14ac:dyDescent="0.65">
      <c r="A121" s="256" t="s">
        <v>466</v>
      </c>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8"/>
      <c r="AC121" s="1"/>
      <c r="AD121" s="2"/>
      <c r="AE121" s="2"/>
    </row>
    <row r="122" spans="1:40" ht="105" customHeight="1" x14ac:dyDescent="0.65">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8"/>
      <c r="AC122" s="1"/>
      <c r="AD122" s="2"/>
      <c r="AE122" s="2"/>
    </row>
    <row r="123" spans="1:40" ht="144" customHeight="1" x14ac:dyDescent="0.65">
      <c r="A123" s="29"/>
      <c r="B123" s="30"/>
      <c r="C123" s="30"/>
      <c r="D123" s="87"/>
      <c r="E123" s="87"/>
      <c r="F123" s="87"/>
      <c r="G123" s="87"/>
      <c r="H123" s="87"/>
      <c r="I123" s="87"/>
      <c r="J123" s="87"/>
      <c r="K123" s="87"/>
      <c r="L123" s="87"/>
      <c r="M123" s="87"/>
      <c r="N123" s="87"/>
      <c r="O123" s="87"/>
      <c r="P123" s="87"/>
      <c r="Q123" s="87"/>
      <c r="R123" s="87"/>
      <c r="S123" s="87"/>
      <c r="T123" s="87"/>
      <c r="U123" s="30"/>
      <c r="V123" s="29"/>
      <c r="W123" s="29"/>
      <c r="X123" s="29"/>
      <c r="Y123" s="27"/>
      <c r="Z123" s="27"/>
      <c r="AA123" s="28"/>
      <c r="AB123" s="28"/>
      <c r="AC123" s="1"/>
      <c r="AD123" s="2"/>
      <c r="AE123" s="2"/>
    </row>
    <row r="124" spans="1:40" ht="61.5" x14ac:dyDescent="0.85">
      <c r="H124" s="93"/>
      <c r="I124" s="89"/>
      <c r="J124" s="89"/>
      <c r="K124" s="89"/>
      <c r="L124" s="89"/>
      <c r="M124" s="89"/>
      <c r="N124" s="89"/>
      <c r="O124" s="89"/>
      <c r="P124" s="89"/>
      <c r="Q124" s="89"/>
      <c r="R124" s="89"/>
      <c r="S124" s="89"/>
      <c r="T124" s="89"/>
      <c r="U124" s="31"/>
      <c r="V124" s="27"/>
      <c r="W124" s="27"/>
      <c r="X124" s="32"/>
      <c r="AB124" s="121"/>
      <c r="AC124" s="1"/>
      <c r="AD124" s="2"/>
      <c r="AE124" s="2"/>
    </row>
    <row r="125" spans="1:40" ht="94.5" customHeight="1" x14ac:dyDescent="0.65">
      <c r="H125" s="89"/>
      <c r="I125" s="89"/>
      <c r="J125" s="89"/>
      <c r="K125" s="89"/>
      <c r="L125" s="89"/>
      <c r="M125" s="89"/>
      <c r="N125" s="89"/>
      <c r="O125" s="89"/>
      <c r="P125" s="89"/>
      <c r="Q125" s="89"/>
      <c r="R125" s="89"/>
      <c r="S125" s="89"/>
      <c r="T125" s="89"/>
      <c r="U125" s="31"/>
      <c r="V125" s="27"/>
      <c r="W125" s="27"/>
      <c r="X125" s="32"/>
      <c r="Y125" s="32"/>
      <c r="Z125" s="27"/>
      <c r="AA125" s="33"/>
      <c r="AB125" s="33"/>
      <c r="AC125" s="1"/>
      <c r="AD125" s="2"/>
      <c r="AE125" s="2"/>
    </row>
    <row r="129" spans="1:29" ht="184.5" customHeight="1" x14ac:dyDescent="0.8">
      <c r="A129" s="282"/>
      <c r="B129" s="282"/>
    </row>
    <row r="133" spans="1:29" ht="46.5" x14ac:dyDescent="0.7">
      <c r="D133" s="155"/>
      <c r="E133" s="155"/>
      <c r="F133" s="155"/>
      <c r="G133" s="155"/>
      <c r="H133" s="155"/>
      <c r="I133" s="155"/>
      <c r="J133" s="155"/>
      <c r="K133" s="155"/>
    </row>
    <row r="134" spans="1:29" ht="91.5" customHeight="1" x14ac:dyDescent="1.25">
      <c r="A134" s="232" t="s">
        <v>592</v>
      </c>
      <c r="B134" s="232"/>
      <c r="C134" s="232"/>
      <c r="D134" s="232"/>
      <c r="E134" s="232"/>
      <c r="F134" s="232"/>
      <c r="G134" s="232"/>
      <c r="Z134" s="231" t="s">
        <v>599</v>
      </c>
      <c r="AA134" s="231"/>
      <c r="AB134" s="231"/>
      <c r="AC134" s="231"/>
    </row>
    <row r="135" spans="1:29" ht="42" customHeight="1" x14ac:dyDescent="0.65">
      <c r="A135" s="232"/>
      <c r="B135" s="232"/>
      <c r="C135" s="232"/>
      <c r="D135" s="232"/>
      <c r="E135" s="232"/>
      <c r="F135" s="232"/>
      <c r="G135" s="232"/>
    </row>
    <row r="136" spans="1:29" x14ac:dyDescent="0.65">
      <c r="A136" s="232"/>
      <c r="B136" s="232"/>
      <c r="C136" s="232"/>
      <c r="D136" s="232"/>
      <c r="E136" s="232"/>
      <c r="F136" s="232"/>
      <c r="G136" s="232"/>
    </row>
    <row r="161" spans="1:2" ht="42" customHeight="1" x14ac:dyDescent="0.65">
      <c r="A161" s="283"/>
      <c r="B161" s="283"/>
    </row>
    <row r="162" spans="1:2" x14ac:dyDescent="0.65">
      <c r="A162" s="283"/>
      <c r="B162" s="283"/>
    </row>
    <row r="174" spans="1:2" ht="57" customHeight="1" x14ac:dyDescent="0.65">
      <c r="A174" s="282"/>
      <c r="B174" s="282"/>
    </row>
    <row r="175" spans="1:2" x14ac:dyDescent="0.65">
      <c r="A175" s="282"/>
      <c r="B175" s="282"/>
    </row>
    <row r="176" spans="1:2" ht="45.75" customHeight="1" x14ac:dyDescent="0.65"/>
    <row r="177" spans="1:3" ht="409.5" customHeight="1" x14ac:dyDescent="0.85">
      <c r="B177" s="154"/>
    </row>
    <row r="179" spans="1:3" ht="45.75" x14ac:dyDescent="0.65">
      <c r="C179" s="152"/>
    </row>
    <row r="180" spans="1:3" ht="45.75" x14ac:dyDescent="0.65">
      <c r="B180" s="152"/>
      <c r="C180" s="152"/>
    </row>
    <row r="182" spans="1:3" ht="42" customHeight="1" x14ac:dyDescent="0.65">
      <c r="A182" s="282" t="s">
        <v>523</v>
      </c>
      <c r="B182" s="282"/>
    </row>
    <row r="183" spans="1:3" ht="42" customHeight="1" x14ac:dyDescent="0.65">
      <c r="A183" s="282"/>
      <c r="B183" s="282"/>
    </row>
    <row r="184" spans="1:3" ht="42" customHeight="1" x14ac:dyDescent="0.65">
      <c r="A184" s="282"/>
      <c r="B184" s="282"/>
    </row>
    <row r="185" spans="1:3" x14ac:dyDescent="0.65">
      <c r="A185" s="282"/>
      <c r="B185" s="282"/>
    </row>
    <row r="186" spans="1:3" x14ac:dyDescent="0.65">
      <c r="A186" s="282"/>
      <c r="B186" s="282"/>
    </row>
    <row r="187" spans="1:3" x14ac:dyDescent="0.65">
      <c r="A187" s="282"/>
      <c r="B187" s="282"/>
    </row>
  </sheetData>
  <customSheetViews>
    <customSheetView guid="{DAA129B7-49F7-47F4-BBAF-F3BC13A03360}" scale="30" showPageBreaks="1" fitToPage="1" printArea="1" hiddenRows="1" hiddenColumns="1" view="pageBreakPreview" topLeftCell="A72">
      <pane xSplit="1" topLeftCell="B1" activePane="topRight" state="frozen"/>
      <selection pane="topRight" activeCell="T75" sqref="T75"/>
      <colBreaks count="1" manualBreakCount="1">
        <brk id="28" max="1048575" man="1"/>
      </colBreaks>
      <pageMargins left="0.70866141732283472" right="0.70866141732283472" top="0.74803149606299213" bottom="0.74803149606299213" header="0.31496062992125984" footer="0.31496062992125984"/>
      <pageSetup paperSize="9" scale="10" orientation="landscape" r:id="rId1"/>
    </customSheetView>
    <customSheetView guid="{9C37FF47-DD3C-484B-9633-D678A759C142}" scale="25" showPageBreaks="1" fitToPage="1" printArea="1" hiddenRows="1" hiddenColumns="1" view="pageBreakPreview" topLeftCell="A120">
      <pane xSplit="1" topLeftCell="B1" activePane="topRight" state="frozen"/>
      <selection pane="topRight" activeCell="A122" sqref="A122:X122"/>
      <colBreaks count="1" manualBreakCount="1">
        <brk id="28" max="1048575" man="1"/>
      </colBreaks>
      <pageMargins left="0.70866141732283472" right="0.70866141732283472" top="0.74803149606299213" bottom="0.74803149606299213" header="0.31496062992125984" footer="0.31496062992125984"/>
      <pageSetup paperSize="9" scale="10" orientation="landscape" r:id="rId2"/>
    </customSheetView>
  </customSheetViews>
  <mergeCells count="551">
    <mergeCell ref="X84:X85"/>
    <mergeCell ref="W84:W85"/>
    <mergeCell ref="V84:V85"/>
    <mergeCell ref="Y89:Y90"/>
    <mergeCell ref="AA115:AA116"/>
    <mergeCell ref="X49:X52"/>
    <mergeCell ref="A129:B129"/>
    <mergeCell ref="A174:B175"/>
    <mergeCell ref="A185:B187"/>
    <mergeCell ref="A182:B184"/>
    <mergeCell ref="A161:B162"/>
    <mergeCell ref="S119:S120"/>
    <mergeCell ref="R119:R120"/>
    <mergeCell ref="F119:F120"/>
    <mergeCell ref="E119:E120"/>
    <mergeCell ref="D119:D120"/>
    <mergeCell ref="C119:C120"/>
    <mergeCell ref="B119:B120"/>
    <mergeCell ref="A119:A120"/>
    <mergeCell ref="H119:H120"/>
    <mergeCell ref="G119:G120"/>
    <mergeCell ref="Q119:Q120"/>
    <mergeCell ref="P119:P120"/>
    <mergeCell ref="O119:O120"/>
    <mergeCell ref="T31:T32"/>
    <mergeCell ref="AA119:AA120"/>
    <mergeCell ref="AA111:AA112"/>
    <mergeCell ref="AA109:AA110"/>
    <mergeCell ref="AA107:AA108"/>
    <mergeCell ref="AA105:AA106"/>
    <mergeCell ref="AA89:AA90"/>
    <mergeCell ref="AA113:AA114"/>
    <mergeCell ref="X33:X35"/>
    <mergeCell ref="AA31:AA32"/>
    <mergeCell ref="Z31:Z32"/>
    <mergeCell ref="X44:X45"/>
    <mergeCell ref="Z111:Z112"/>
    <mergeCell ref="Y111:Y112"/>
    <mergeCell ref="X113:X114"/>
    <mergeCell ref="Z113:Z114"/>
    <mergeCell ref="Y113:Y114"/>
    <mergeCell ref="Z119:Z120"/>
    <mergeCell ref="Y119:Y120"/>
    <mergeCell ref="X119:X120"/>
    <mergeCell ref="W119:W120"/>
    <mergeCell ref="V119:V120"/>
    <mergeCell ref="U119:U120"/>
    <mergeCell ref="T119:T120"/>
    <mergeCell ref="Z23:Z24"/>
    <mergeCell ref="Z82:Z83"/>
    <mergeCell ref="Y82:Y83"/>
    <mergeCell ref="X82:X83"/>
    <mergeCell ref="Y31:Y32"/>
    <mergeCell ref="X31:X32"/>
    <mergeCell ref="AA23:AA24"/>
    <mergeCell ref="Y23:Y24"/>
    <mergeCell ref="X23:X24"/>
    <mergeCell ref="Y47:Y48"/>
    <mergeCell ref="X47:X48"/>
    <mergeCell ref="AA37:AA38"/>
    <mergeCell ref="AA42:AA43"/>
    <mergeCell ref="Z37:Z38"/>
    <mergeCell ref="AA82:AA83"/>
    <mergeCell ref="Z49:Z52"/>
    <mergeCell ref="Z33:Z35"/>
    <mergeCell ref="AA47:AA48"/>
    <mergeCell ref="Z47:Z48"/>
    <mergeCell ref="Y44:Y45"/>
    <mergeCell ref="J23:J24"/>
    <mergeCell ref="I23:I24"/>
    <mergeCell ref="H23:H24"/>
    <mergeCell ref="G23:G24"/>
    <mergeCell ref="F23:F24"/>
    <mergeCell ref="E23:E24"/>
    <mergeCell ref="D23:D24"/>
    <mergeCell ref="B23:B24"/>
    <mergeCell ref="O23:O24"/>
    <mergeCell ref="N23:N24"/>
    <mergeCell ref="M23:M24"/>
    <mergeCell ref="W23:W24"/>
    <mergeCell ref="V23:V24"/>
    <mergeCell ref="U23:U24"/>
    <mergeCell ref="Q23:Q24"/>
    <mergeCell ref="L23:L24"/>
    <mergeCell ref="K23:K24"/>
    <mergeCell ref="S23:S24"/>
    <mergeCell ref="AJ105:AJ106"/>
    <mergeCell ref="AJ107:AJ108"/>
    <mergeCell ref="W31:W32"/>
    <mergeCell ref="V44:V45"/>
    <mergeCell ref="U44:U45"/>
    <mergeCell ref="V31:V32"/>
    <mergeCell ref="U31:U32"/>
    <mergeCell ref="V33:V35"/>
    <mergeCell ref="U47:U48"/>
    <mergeCell ref="U42:U43"/>
    <mergeCell ref="T47:T48"/>
    <mergeCell ref="S47:S48"/>
    <mergeCell ref="S53:S54"/>
    <mergeCell ref="R53:R54"/>
    <mergeCell ref="S44:S45"/>
    <mergeCell ref="R44:R45"/>
    <mergeCell ref="Q44:Q45"/>
    <mergeCell ref="AJ109:AJ110"/>
    <mergeCell ref="Z44:Z45"/>
    <mergeCell ref="AA44:AA45"/>
    <mergeCell ref="AJ34:AJ35"/>
    <mergeCell ref="AJ38:AJ39"/>
    <mergeCell ref="AA33:AA35"/>
    <mergeCell ref="G53:G54"/>
    <mergeCell ref="G82:G83"/>
    <mergeCell ref="M53:M54"/>
    <mergeCell ref="L53:L54"/>
    <mergeCell ref="O53:O54"/>
    <mergeCell ref="N53:N54"/>
    <mergeCell ref="L109:L110"/>
    <mergeCell ref="N47:N48"/>
    <mergeCell ref="M47:M48"/>
    <mergeCell ref="AA84:AA85"/>
    <mergeCell ref="Z84:Z85"/>
    <mergeCell ref="Y84:Y85"/>
    <mergeCell ref="W82:W83"/>
    <mergeCell ref="Z42:Z43"/>
    <mergeCell ref="Y37:Y38"/>
    <mergeCell ref="X37:X38"/>
    <mergeCell ref="R47:R48"/>
    <mergeCell ref="N109:N110"/>
    <mergeCell ref="AJ111:AJ112"/>
    <mergeCell ref="U89:U90"/>
    <mergeCell ref="AJ85:AJ86"/>
    <mergeCell ref="AJ89:AJ90"/>
    <mergeCell ref="X89:X90"/>
    <mergeCell ref="W89:W90"/>
    <mergeCell ref="V89:V90"/>
    <mergeCell ref="Z105:Z106"/>
    <mergeCell ref="AJ47:AJ48"/>
    <mergeCell ref="AJ49:AJ50"/>
    <mergeCell ref="AJ51:AJ52"/>
    <mergeCell ref="AJ53:AJ54"/>
    <mergeCell ref="AJ61:AJ62"/>
    <mergeCell ref="Z89:Z90"/>
    <mergeCell ref="Z53:Z54"/>
    <mergeCell ref="AA49:AA52"/>
    <mergeCell ref="AA53:AA54"/>
    <mergeCell ref="U84:U85"/>
    <mergeCell ref="V47:V48"/>
    <mergeCell ref="W53:W54"/>
    <mergeCell ref="W47:W48"/>
    <mergeCell ref="Y49:Y52"/>
    <mergeCell ref="Y53:Y54"/>
    <mergeCell ref="X53:X54"/>
    <mergeCell ref="C115:C116"/>
    <mergeCell ref="H115:H116"/>
    <mergeCell ref="G115:G116"/>
    <mergeCell ref="L115:L116"/>
    <mergeCell ref="B115:B116"/>
    <mergeCell ref="A115:A116"/>
    <mergeCell ref="N115:N116"/>
    <mergeCell ref="M115:M116"/>
    <mergeCell ref="A122:AA122"/>
    <mergeCell ref="T115:T116"/>
    <mergeCell ref="P115:P116"/>
    <mergeCell ref="O115:O116"/>
    <mergeCell ref="U115:U116"/>
    <mergeCell ref="Z115:Z116"/>
    <mergeCell ref="N119:N120"/>
    <mergeCell ref="M119:M120"/>
    <mergeCell ref="L119:L120"/>
    <mergeCell ref="K119:K120"/>
    <mergeCell ref="J119:J120"/>
    <mergeCell ref="I119:I120"/>
    <mergeCell ref="F115:F116"/>
    <mergeCell ref="E115:E116"/>
    <mergeCell ref="D115:D116"/>
    <mergeCell ref="J115:J116"/>
    <mergeCell ref="I115:I116"/>
    <mergeCell ref="G84:G85"/>
    <mergeCell ref="H84:H85"/>
    <mergeCell ref="K53:K54"/>
    <mergeCell ref="I82:I83"/>
    <mergeCell ref="H82:H83"/>
    <mergeCell ref="J82:J83"/>
    <mergeCell ref="F111:F112"/>
    <mergeCell ref="I109:I110"/>
    <mergeCell ref="F53:F54"/>
    <mergeCell ref="O113:O114"/>
    <mergeCell ref="N113:N114"/>
    <mergeCell ref="M113:M114"/>
    <mergeCell ref="B105:B106"/>
    <mergeCell ref="B113:B114"/>
    <mergeCell ref="I53:I54"/>
    <mergeCell ref="H53:H54"/>
    <mergeCell ref="K89:K90"/>
    <mergeCell ref="J89:J90"/>
    <mergeCell ref="G89:G90"/>
    <mergeCell ref="F89:F90"/>
    <mergeCell ref="I84:I85"/>
    <mergeCell ref="I105:I106"/>
    <mergeCell ref="O82:O83"/>
    <mergeCell ref="N82:N83"/>
    <mergeCell ref="M82:M83"/>
    <mergeCell ref="D53:D54"/>
    <mergeCell ref="C53:C54"/>
    <mergeCell ref="M89:M90"/>
    <mergeCell ref="J53:J54"/>
    <mergeCell ref="M49:M52"/>
    <mergeCell ref="Q115:Q116"/>
    <mergeCell ref="F49:F52"/>
    <mergeCell ref="E105:E106"/>
    <mergeCell ref="F105:F106"/>
    <mergeCell ref="O84:O85"/>
    <mergeCell ref="M84:M85"/>
    <mergeCell ref="N84:N85"/>
    <mergeCell ref="K109:K110"/>
    <mergeCell ref="J109:J110"/>
    <mergeCell ref="Q107:Q108"/>
    <mergeCell ref="M107:M108"/>
    <mergeCell ref="H107:H108"/>
    <mergeCell ref="G107:G108"/>
    <mergeCell ref="F107:F108"/>
    <mergeCell ref="Q111:Q112"/>
    <mergeCell ref="C113:C114"/>
    <mergeCell ref="P82:P83"/>
    <mergeCell ref="T82:T83"/>
    <mergeCell ref="S82:S83"/>
    <mergeCell ref="R82:R83"/>
    <mergeCell ref="Q82:Q83"/>
    <mergeCell ref="S113:S114"/>
    <mergeCell ref="W113:W114"/>
    <mergeCell ref="V113:V114"/>
    <mergeCell ref="U113:U114"/>
    <mergeCell ref="T113:T114"/>
    <mergeCell ref="W111:W112"/>
    <mergeCell ref="R113:R114"/>
    <mergeCell ref="R111:R112"/>
    <mergeCell ref="W105:W106"/>
    <mergeCell ref="R105:R106"/>
    <mergeCell ref="Q105:Q106"/>
    <mergeCell ref="P105:P106"/>
    <mergeCell ref="R89:R90"/>
    <mergeCell ref="Q113:Q114"/>
    <mergeCell ref="P113:P114"/>
    <mergeCell ref="P111:P112"/>
    <mergeCell ref="V53:V54"/>
    <mergeCell ref="U53:U54"/>
    <mergeCell ref="V49:V52"/>
    <mergeCell ref="U49:U52"/>
    <mergeCell ref="T53:T54"/>
    <mergeCell ref="T109:T110"/>
    <mergeCell ref="S109:S110"/>
    <mergeCell ref="T111:T112"/>
    <mergeCell ref="S111:S112"/>
    <mergeCell ref="V111:V112"/>
    <mergeCell ref="U111:U112"/>
    <mergeCell ref="V105:V106"/>
    <mergeCell ref="U105:U106"/>
    <mergeCell ref="T105:T106"/>
    <mergeCell ref="S105:S106"/>
    <mergeCell ref="T89:T90"/>
    <mergeCell ref="S89:S90"/>
    <mergeCell ref="T49:T52"/>
    <mergeCell ref="S49:S52"/>
    <mergeCell ref="A31:A32"/>
    <mergeCell ref="J31:J32"/>
    <mergeCell ref="I31:I32"/>
    <mergeCell ref="H31:H32"/>
    <mergeCell ref="G31:G32"/>
    <mergeCell ref="F31:F32"/>
    <mergeCell ref="O31:O32"/>
    <mergeCell ref="N31:N32"/>
    <mergeCell ref="M31:M32"/>
    <mergeCell ref="L31:L32"/>
    <mergeCell ref="K31:K32"/>
    <mergeCell ref="E31:E32"/>
    <mergeCell ref="D31:D32"/>
    <mergeCell ref="C31:C32"/>
    <mergeCell ref="A42:A43"/>
    <mergeCell ref="A44:A45"/>
    <mergeCell ref="S115:S116"/>
    <mergeCell ref="R115:R116"/>
    <mergeCell ref="C44:C45"/>
    <mergeCell ref="B44:B45"/>
    <mergeCell ref="F47:F48"/>
    <mergeCell ref="F42:F43"/>
    <mergeCell ref="I42:I43"/>
    <mergeCell ref="J42:J43"/>
    <mergeCell ref="O49:O52"/>
    <mergeCell ref="F82:F83"/>
    <mergeCell ref="B82:B83"/>
    <mergeCell ref="B84:B85"/>
    <mergeCell ref="C84:C85"/>
    <mergeCell ref="D84:D85"/>
    <mergeCell ref="E84:E85"/>
    <mergeCell ref="D82:D83"/>
    <mergeCell ref="C82:C83"/>
    <mergeCell ref="E82:E83"/>
    <mergeCell ref="A53:A54"/>
    <mergeCell ref="A84:A85"/>
    <mergeCell ref="B53:B54"/>
    <mergeCell ref="E53:E54"/>
    <mergeCell ref="R37:R38"/>
    <mergeCell ref="S37:S38"/>
    <mergeCell ref="W44:W45"/>
    <mergeCell ref="Y42:Y43"/>
    <mergeCell ref="X42:X43"/>
    <mergeCell ref="Y33:Y35"/>
    <mergeCell ref="J47:J48"/>
    <mergeCell ref="I47:I48"/>
    <mergeCell ref="H47:H48"/>
    <mergeCell ref="N44:N45"/>
    <mergeCell ref="M44:M45"/>
    <mergeCell ref="L44:L45"/>
    <mergeCell ref="K47:K48"/>
    <mergeCell ref="D44:D45"/>
    <mergeCell ref="P44:P45"/>
    <mergeCell ref="G44:G45"/>
    <mergeCell ref="F44:F45"/>
    <mergeCell ref="E44:E45"/>
    <mergeCell ref="H44:H45"/>
    <mergeCell ref="B42:B43"/>
    <mergeCell ref="C42:C43"/>
    <mergeCell ref="D42:D43"/>
    <mergeCell ref="A49:A52"/>
    <mergeCell ref="E47:E48"/>
    <mergeCell ref="D49:D52"/>
    <mergeCell ref="C49:C52"/>
    <mergeCell ref="A47:A48"/>
    <mergeCell ref="B49:B52"/>
    <mergeCell ref="D47:D48"/>
    <mergeCell ref="C47:C48"/>
    <mergeCell ref="B47:B48"/>
    <mergeCell ref="E49:E52"/>
    <mergeCell ref="F33:F35"/>
    <mergeCell ref="E33:E35"/>
    <mergeCell ref="Q42:Q43"/>
    <mergeCell ref="E42:E43"/>
    <mergeCell ref="D37:D38"/>
    <mergeCell ref="N33:N35"/>
    <mergeCell ref="M33:M35"/>
    <mergeCell ref="L33:L35"/>
    <mergeCell ref="K33:K35"/>
    <mergeCell ref="J33:J35"/>
    <mergeCell ref="I33:I35"/>
    <mergeCell ref="K42:K43"/>
    <mergeCell ref="L42:L43"/>
    <mergeCell ref="P42:P43"/>
    <mergeCell ref="G42:G43"/>
    <mergeCell ref="H42:H43"/>
    <mergeCell ref="Q37:Q38"/>
    <mergeCell ref="P37:P38"/>
    <mergeCell ref="O42:O43"/>
    <mergeCell ref="M42:M43"/>
    <mergeCell ref="E37:E38"/>
    <mergeCell ref="A121:AA121"/>
    <mergeCell ref="L84:L85"/>
    <mergeCell ref="J84:J85"/>
    <mergeCell ref="K84:K85"/>
    <mergeCell ref="Q89:Q90"/>
    <mergeCell ref="P89:P90"/>
    <mergeCell ref="O89:O90"/>
    <mergeCell ref="N89:N90"/>
    <mergeCell ref="Y115:Y116"/>
    <mergeCell ref="X115:X116"/>
    <mergeCell ref="W115:W116"/>
    <mergeCell ref="V115:V116"/>
    <mergeCell ref="Y105:Y106"/>
    <mergeCell ref="X105:X106"/>
    <mergeCell ref="X111:X112"/>
    <mergeCell ref="E89:E90"/>
    <mergeCell ref="D89:D90"/>
    <mergeCell ref="B107:B108"/>
    <mergeCell ref="K105:K106"/>
    <mergeCell ref="J105:J106"/>
    <mergeCell ref="N111:N112"/>
    <mergeCell ref="M111:M112"/>
    <mergeCell ref="M109:M110"/>
    <mergeCell ref="O111:O112"/>
    <mergeCell ref="G47:G48"/>
    <mergeCell ref="L47:L48"/>
    <mergeCell ref="J49:J52"/>
    <mergeCell ref="I49:I52"/>
    <mergeCell ref="H49:H52"/>
    <mergeCell ref="G49:G52"/>
    <mergeCell ref="U7:U9"/>
    <mergeCell ref="V7:Y8"/>
    <mergeCell ref="O105:O106"/>
    <mergeCell ref="N105:N106"/>
    <mergeCell ref="M105:M106"/>
    <mergeCell ref="L49:L52"/>
    <mergeCell ref="N49:N52"/>
    <mergeCell ref="K44:K45"/>
    <mergeCell ref="J44:J45"/>
    <mergeCell ref="I44:I45"/>
    <mergeCell ref="K49:K52"/>
    <mergeCell ref="O44:O45"/>
    <mergeCell ref="T44:T45"/>
    <mergeCell ref="T42:T43"/>
    <mergeCell ref="W42:W43"/>
    <mergeCell ref="V37:V38"/>
    <mergeCell ref="U37:U38"/>
    <mergeCell ref="V42:V43"/>
    <mergeCell ref="Z7:Z9"/>
    <mergeCell ref="AA7:AA9"/>
    <mergeCell ref="U33:U35"/>
    <mergeCell ref="N42:N43"/>
    <mergeCell ref="Q84:Q85"/>
    <mergeCell ref="V82:V83"/>
    <mergeCell ref="U82:U83"/>
    <mergeCell ref="P84:P85"/>
    <mergeCell ref="Q49:Q52"/>
    <mergeCell ref="P47:P48"/>
    <mergeCell ref="P53:P54"/>
    <mergeCell ref="O47:O48"/>
    <mergeCell ref="Q53:Q54"/>
    <mergeCell ref="R42:R43"/>
    <mergeCell ref="S42:S43"/>
    <mergeCell ref="Q47:Q48"/>
    <mergeCell ref="P49:P52"/>
    <mergeCell ref="W49:W52"/>
    <mergeCell ref="T84:T85"/>
    <mergeCell ref="R84:R85"/>
    <mergeCell ref="S84:S85"/>
    <mergeCell ref="W33:W35"/>
    <mergeCell ref="R49:R52"/>
    <mergeCell ref="W37:W38"/>
    <mergeCell ref="A7:A9"/>
    <mergeCell ref="B7:B9"/>
    <mergeCell ref="C7:C9"/>
    <mergeCell ref="D7:H8"/>
    <mergeCell ref="I7:M7"/>
    <mergeCell ref="I8:L8"/>
    <mergeCell ref="N7:S8"/>
    <mergeCell ref="T7:T9"/>
    <mergeCell ref="B33:B35"/>
    <mergeCell ref="A33:A35"/>
    <mergeCell ref="B31:B32"/>
    <mergeCell ref="H33:H35"/>
    <mergeCell ref="G33:G35"/>
    <mergeCell ref="O33:O35"/>
    <mergeCell ref="T33:T35"/>
    <mergeCell ref="D33:D35"/>
    <mergeCell ref="S31:S32"/>
    <mergeCell ref="R31:R32"/>
    <mergeCell ref="Q31:Q32"/>
    <mergeCell ref="P31:P32"/>
    <mergeCell ref="R23:R24"/>
    <mergeCell ref="P23:P24"/>
    <mergeCell ref="C23:C24"/>
    <mergeCell ref="A23:A24"/>
    <mergeCell ref="A1:AA1"/>
    <mergeCell ref="A2:AA2"/>
    <mergeCell ref="A3:AA3"/>
    <mergeCell ref="A4:AA4"/>
    <mergeCell ref="A5:AA5"/>
    <mergeCell ref="A37:A38"/>
    <mergeCell ref="J37:J38"/>
    <mergeCell ref="I37:I38"/>
    <mergeCell ref="H37:H38"/>
    <mergeCell ref="G37:G38"/>
    <mergeCell ref="F37:F38"/>
    <mergeCell ref="O37:O38"/>
    <mergeCell ref="N37:N38"/>
    <mergeCell ref="M37:M38"/>
    <mergeCell ref="L37:L38"/>
    <mergeCell ref="K37:K38"/>
    <mergeCell ref="C33:C35"/>
    <mergeCell ref="S33:S35"/>
    <mergeCell ref="R33:R35"/>
    <mergeCell ref="Q33:Q35"/>
    <mergeCell ref="P33:P35"/>
    <mergeCell ref="C37:C38"/>
    <mergeCell ref="B37:B38"/>
    <mergeCell ref="T37:T38"/>
    <mergeCell ref="A89:A90"/>
    <mergeCell ref="B89:B90"/>
    <mergeCell ref="I89:I90"/>
    <mergeCell ref="H89:H90"/>
    <mergeCell ref="C89:C90"/>
    <mergeCell ref="E107:E108"/>
    <mergeCell ref="D107:D108"/>
    <mergeCell ref="C107:C108"/>
    <mergeCell ref="L82:L83"/>
    <mergeCell ref="K82:K83"/>
    <mergeCell ref="F84:F85"/>
    <mergeCell ref="A82:A83"/>
    <mergeCell ref="L105:L106"/>
    <mergeCell ref="H105:H106"/>
    <mergeCell ref="G105:G106"/>
    <mergeCell ref="D105:D106"/>
    <mergeCell ref="C105:C106"/>
    <mergeCell ref="L89:L90"/>
    <mergeCell ref="A105:A106"/>
    <mergeCell ref="A107:A108"/>
    <mergeCell ref="L107:L108"/>
    <mergeCell ref="K107:K108"/>
    <mergeCell ref="J107:J108"/>
    <mergeCell ref="I107:I108"/>
    <mergeCell ref="Z107:Z108"/>
    <mergeCell ref="Y107:Y108"/>
    <mergeCell ref="X107:X108"/>
    <mergeCell ref="W107:W108"/>
    <mergeCell ref="V107:V108"/>
    <mergeCell ref="U107:U108"/>
    <mergeCell ref="P107:P108"/>
    <mergeCell ref="O107:O108"/>
    <mergeCell ref="N107:N108"/>
    <mergeCell ref="T107:T108"/>
    <mergeCell ref="S107:S108"/>
    <mergeCell ref="R107:R108"/>
    <mergeCell ref="A109:A110"/>
    <mergeCell ref="Z109:Z110"/>
    <mergeCell ref="Y109:Y110"/>
    <mergeCell ref="X109:X110"/>
    <mergeCell ref="W109:W110"/>
    <mergeCell ref="V109:V110"/>
    <mergeCell ref="U109:U110"/>
    <mergeCell ref="Q109:Q110"/>
    <mergeCell ref="P109:P110"/>
    <mergeCell ref="O109:O110"/>
    <mergeCell ref="E109:E110"/>
    <mergeCell ref="D109:D110"/>
    <mergeCell ref="C109:C110"/>
    <mergeCell ref="B109:B110"/>
    <mergeCell ref="H109:H110"/>
    <mergeCell ref="G109:G110"/>
    <mergeCell ref="F109:F110"/>
    <mergeCell ref="R109:R110"/>
    <mergeCell ref="Z134:AC134"/>
    <mergeCell ref="A134:G136"/>
    <mergeCell ref="A111:A112"/>
    <mergeCell ref="L113:L114"/>
    <mergeCell ref="K113:K114"/>
    <mergeCell ref="E113:E114"/>
    <mergeCell ref="D113:D114"/>
    <mergeCell ref="A113:A114"/>
    <mergeCell ref="J113:J114"/>
    <mergeCell ref="I113:I114"/>
    <mergeCell ref="H113:H114"/>
    <mergeCell ref="G113:G114"/>
    <mergeCell ref="F113:F114"/>
    <mergeCell ref="L111:L112"/>
    <mergeCell ref="K111:K112"/>
    <mergeCell ref="J111:J112"/>
    <mergeCell ref="I111:I112"/>
    <mergeCell ref="H111:H112"/>
    <mergeCell ref="G111:G112"/>
    <mergeCell ref="E111:E112"/>
    <mergeCell ref="D111:D112"/>
    <mergeCell ref="C111:C112"/>
    <mergeCell ref="B111:B112"/>
    <mergeCell ref="K115:K116"/>
  </mergeCells>
  <pageMargins left="0.70866141732283472" right="0.70866141732283472" top="0.55118110236220474" bottom="0.55118110236220474" header="0.31496062992125984" footer="0.31496062992125984"/>
  <pageSetup paperSize="9" scale="13" fitToHeight="0" orientation="landscape" r:id="rId3"/>
  <rowBreaks count="4" manualBreakCount="4">
    <brk id="27" max="26" man="1"/>
    <brk id="38" max="26" man="1"/>
    <brk id="108" max="26" man="1"/>
    <brk id="119" max="26"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view="pageBreakPreview" zoomScale="70" zoomScaleNormal="100" zoomScaleSheetLayoutView="70" workbookViewId="0">
      <selection activeCell="H26" sqref="H26"/>
    </sheetView>
  </sheetViews>
  <sheetFormatPr defaultRowHeight="15" x14ac:dyDescent="0.25"/>
  <cols>
    <col min="1" max="1" width="9.140625" style="79"/>
    <col min="2" max="2" width="30.85546875" style="79" customWidth="1"/>
    <col min="3" max="3" width="9.140625" style="79"/>
    <col min="4" max="4" width="12.7109375" style="79" customWidth="1"/>
    <col min="5" max="5" width="9.140625" style="79"/>
    <col min="6" max="6" width="13.42578125" style="79" customWidth="1"/>
    <col min="7" max="7" width="22.140625" style="79" customWidth="1"/>
    <col min="8" max="16384" width="9.140625" style="79"/>
  </cols>
  <sheetData>
    <row r="1" spans="1:7" ht="18.75" x14ac:dyDescent="0.3">
      <c r="A1" s="284" t="s">
        <v>133</v>
      </c>
      <c r="B1" s="284"/>
      <c r="C1" s="284"/>
      <c r="D1" s="284"/>
      <c r="E1" s="284"/>
      <c r="F1" s="284"/>
      <c r="G1" s="284"/>
    </row>
    <row r="2" spans="1:7" ht="18.75" x14ac:dyDescent="0.3">
      <c r="A2" s="284" t="s">
        <v>134</v>
      </c>
      <c r="B2" s="284"/>
      <c r="C2" s="284"/>
      <c r="D2" s="284"/>
      <c r="E2" s="284"/>
      <c r="F2" s="284"/>
      <c r="G2" s="284"/>
    </row>
    <row r="3" spans="1:7" ht="18.75" x14ac:dyDescent="0.3">
      <c r="A3" s="284" t="s">
        <v>2</v>
      </c>
      <c r="B3" s="284"/>
      <c r="C3" s="284"/>
      <c r="D3" s="284"/>
      <c r="E3" s="284"/>
      <c r="F3" s="284"/>
      <c r="G3" s="284"/>
    </row>
    <row r="4" spans="1:7" ht="18.75" x14ac:dyDescent="0.3">
      <c r="A4" s="284" t="s">
        <v>423</v>
      </c>
      <c r="B4" s="284"/>
      <c r="C4" s="284"/>
      <c r="D4" s="284"/>
      <c r="E4" s="284"/>
      <c r="F4" s="284"/>
      <c r="G4" s="284"/>
    </row>
    <row r="5" spans="1:7" ht="15.75" x14ac:dyDescent="0.25">
      <c r="A5" s="34"/>
      <c r="B5" s="35"/>
      <c r="C5" s="35"/>
      <c r="D5" s="35"/>
      <c r="E5" s="35"/>
      <c r="F5" s="36"/>
      <c r="G5" s="35"/>
    </row>
    <row r="6" spans="1:7" x14ac:dyDescent="0.25">
      <c r="A6" s="285" t="s">
        <v>135</v>
      </c>
      <c r="B6" s="286" t="s">
        <v>136</v>
      </c>
      <c r="C6" s="286" t="s">
        <v>137</v>
      </c>
      <c r="D6" s="287" t="s">
        <v>375</v>
      </c>
      <c r="E6" s="287"/>
      <c r="F6" s="287"/>
      <c r="G6" s="286" t="s">
        <v>138</v>
      </c>
    </row>
    <row r="7" spans="1:7" ht="44.25" customHeight="1" x14ac:dyDescent="0.25">
      <c r="A7" s="285"/>
      <c r="B7" s="286"/>
      <c r="C7" s="286"/>
      <c r="D7" s="37" t="s">
        <v>377</v>
      </c>
      <c r="E7" s="286" t="s">
        <v>139</v>
      </c>
      <c r="F7" s="286"/>
      <c r="G7" s="286"/>
    </row>
    <row r="8" spans="1:7" x14ac:dyDescent="0.25">
      <c r="A8" s="285"/>
      <c r="B8" s="286"/>
      <c r="C8" s="286"/>
      <c r="D8" s="37" t="s">
        <v>140</v>
      </c>
      <c r="E8" s="37" t="s">
        <v>141</v>
      </c>
      <c r="F8" s="38" t="s">
        <v>140</v>
      </c>
      <c r="G8" s="286"/>
    </row>
    <row r="9" spans="1:7" x14ac:dyDescent="0.25">
      <c r="A9" s="42">
        <v>1</v>
      </c>
      <c r="B9" s="43">
        <v>2</v>
      </c>
      <c r="C9" s="43">
        <v>3</v>
      </c>
      <c r="D9" s="43">
        <v>4</v>
      </c>
      <c r="E9" s="43">
        <v>5</v>
      </c>
      <c r="F9" s="43">
        <v>6</v>
      </c>
      <c r="G9" s="43">
        <v>7</v>
      </c>
    </row>
    <row r="10" spans="1:7" ht="40.5" customHeight="1" x14ac:dyDescent="0.25">
      <c r="A10" s="39"/>
      <c r="B10" s="145" t="s">
        <v>142</v>
      </c>
      <c r="C10" s="40"/>
      <c r="D10" s="40"/>
      <c r="E10" s="40"/>
      <c r="F10" s="146"/>
      <c r="G10" s="40"/>
    </row>
    <row r="11" spans="1:7" ht="42.75" customHeight="1" x14ac:dyDescent="0.25">
      <c r="A11" s="41" t="s">
        <v>143</v>
      </c>
      <c r="B11" s="40" t="s">
        <v>144</v>
      </c>
      <c r="C11" s="42" t="s">
        <v>31</v>
      </c>
      <c r="D11" s="142">
        <v>16852</v>
      </c>
      <c r="E11" s="147">
        <v>13000</v>
      </c>
      <c r="F11" s="147">
        <v>12865</v>
      </c>
      <c r="G11" s="40" t="s">
        <v>477</v>
      </c>
    </row>
    <row r="12" spans="1:7" ht="68.25" customHeight="1" x14ac:dyDescent="0.25">
      <c r="A12" s="41" t="s">
        <v>145</v>
      </c>
      <c r="B12" s="40" t="s">
        <v>146</v>
      </c>
      <c r="C12" s="42" t="s">
        <v>147</v>
      </c>
      <c r="D12" s="42">
        <v>100.3</v>
      </c>
      <c r="E12" s="148">
        <v>100</v>
      </c>
      <c r="F12" s="127">
        <v>105</v>
      </c>
      <c r="G12" s="43"/>
    </row>
    <row r="13" spans="1:7" ht="80.25" customHeight="1" x14ac:dyDescent="0.25">
      <c r="A13" s="41" t="s">
        <v>42</v>
      </c>
      <c r="B13" s="40" t="s">
        <v>148</v>
      </c>
      <c r="C13" s="42" t="s">
        <v>147</v>
      </c>
      <c r="D13" s="42">
        <v>97.8</v>
      </c>
      <c r="E13" s="148">
        <v>97</v>
      </c>
      <c r="F13" s="127">
        <v>97</v>
      </c>
      <c r="G13" s="40"/>
    </row>
    <row r="14" spans="1:7" ht="93" customHeight="1" x14ac:dyDescent="0.25">
      <c r="A14" s="41" t="s">
        <v>149</v>
      </c>
      <c r="B14" s="40" t="s">
        <v>150</v>
      </c>
      <c r="C14" s="42" t="s">
        <v>147</v>
      </c>
      <c r="D14" s="148">
        <v>100</v>
      </c>
      <c r="E14" s="148">
        <v>100</v>
      </c>
      <c r="F14" s="127">
        <v>100</v>
      </c>
      <c r="G14" s="40"/>
    </row>
    <row r="15" spans="1:7" ht="54.75" customHeight="1" x14ac:dyDescent="0.25">
      <c r="A15" s="41" t="s">
        <v>52</v>
      </c>
      <c r="B15" s="40" t="s">
        <v>151</v>
      </c>
      <c r="C15" s="42" t="s">
        <v>147</v>
      </c>
      <c r="D15" s="148">
        <v>82</v>
      </c>
      <c r="E15" s="148">
        <v>87</v>
      </c>
      <c r="F15" s="148">
        <v>87</v>
      </c>
      <c r="G15" s="40"/>
    </row>
    <row r="16" spans="1:7" ht="108.75" customHeight="1" x14ac:dyDescent="0.25">
      <c r="A16" s="41" t="s">
        <v>152</v>
      </c>
      <c r="B16" s="40" t="s">
        <v>153</v>
      </c>
      <c r="C16" s="42" t="s">
        <v>147</v>
      </c>
      <c r="D16" s="42">
        <v>14.6</v>
      </c>
      <c r="E16" s="42">
        <v>12.4</v>
      </c>
      <c r="F16" s="127">
        <v>16.7</v>
      </c>
      <c r="G16" s="40"/>
    </row>
    <row r="17" spans="1:7" ht="146.25" customHeight="1" x14ac:dyDescent="0.25">
      <c r="A17" s="41" t="s">
        <v>154</v>
      </c>
      <c r="B17" s="40" t="s">
        <v>155</v>
      </c>
      <c r="C17" s="42" t="s">
        <v>147</v>
      </c>
      <c r="D17" s="148">
        <v>100</v>
      </c>
      <c r="E17" s="148">
        <v>100</v>
      </c>
      <c r="F17" s="148">
        <v>100</v>
      </c>
      <c r="G17" s="97"/>
    </row>
    <row r="18" spans="1:7" ht="40.5" customHeight="1" x14ac:dyDescent="0.25">
      <c r="A18" s="41" t="s">
        <v>156</v>
      </c>
      <c r="B18" s="40" t="s">
        <v>157</v>
      </c>
      <c r="C18" s="42" t="s">
        <v>158</v>
      </c>
      <c r="D18" s="42">
        <v>68.2</v>
      </c>
      <c r="E18" s="42">
        <v>64.2</v>
      </c>
      <c r="F18" s="127">
        <v>64.2</v>
      </c>
      <c r="G18" s="40"/>
    </row>
    <row r="19" spans="1:7" ht="39.75" customHeight="1" x14ac:dyDescent="0.25">
      <c r="A19" s="41" t="s">
        <v>159</v>
      </c>
      <c r="B19" s="40" t="s">
        <v>160</v>
      </c>
      <c r="C19" s="42" t="s">
        <v>161</v>
      </c>
      <c r="D19" s="42">
        <v>0.152</v>
      </c>
      <c r="E19" s="149">
        <v>0.14499999999999999</v>
      </c>
      <c r="F19" s="173">
        <v>0.14499999999999999</v>
      </c>
      <c r="G19" s="40"/>
    </row>
    <row r="20" spans="1:7" ht="40.5" customHeight="1" x14ac:dyDescent="0.25">
      <c r="A20" s="44" t="s">
        <v>162</v>
      </c>
      <c r="B20" s="40" t="s">
        <v>163</v>
      </c>
      <c r="C20" s="42" t="s">
        <v>164</v>
      </c>
      <c r="D20" s="42">
        <v>1.62</v>
      </c>
      <c r="E20" s="42">
        <v>1.54</v>
      </c>
      <c r="F20" s="172">
        <v>1.54</v>
      </c>
      <c r="G20" s="40"/>
    </row>
    <row r="21" spans="1:7" ht="54" customHeight="1" x14ac:dyDescent="0.25">
      <c r="A21" s="44" t="s">
        <v>165</v>
      </c>
      <c r="B21" s="40" t="s">
        <v>166</v>
      </c>
      <c r="C21" s="42" t="s">
        <v>167</v>
      </c>
      <c r="D21" s="42">
        <v>20.3</v>
      </c>
      <c r="E21" s="42">
        <v>21.2</v>
      </c>
      <c r="F21" s="127">
        <v>21.2</v>
      </c>
      <c r="G21" s="40"/>
    </row>
    <row r="22" spans="1:7" ht="133.5" customHeight="1" x14ac:dyDescent="0.25">
      <c r="A22" s="41" t="s">
        <v>168</v>
      </c>
      <c r="B22" s="40" t="s">
        <v>169</v>
      </c>
      <c r="C22" s="42" t="s">
        <v>167</v>
      </c>
      <c r="D22" s="42">
        <v>2.02</v>
      </c>
      <c r="E22" s="42">
        <v>2.14</v>
      </c>
      <c r="F22" s="172">
        <v>2.14</v>
      </c>
      <c r="G22" s="40"/>
    </row>
    <row r="23" spans="1:7" ht="43.5" customHeight="1" x14ac:dyDescent="0.25">
      <c r="A23" s="44" t="s">
        <v>170</v>
      </c>
      <c r="B23" s="40" t="s">
        <v>171</v>
      </c>
      <c r="C23" s="42" t="s">
        <v>167</v>
      </c>
      <c r="D23" s="148">
        <v>100</v>
      </c>
      <c r="E23" s="148">
        <v>100</v>
      </c>
      <c r="F23" s="127">
        <v>100</v>
      </c>
      <c r="G23" s="40"/>
    </row>
    <row r="24" spans="1:7" ht="108.75" customHeight="1" x14ac:dyDescent="0.25">
      <c r="A24" s="44" t="s">
        <v>172</v>
      </c>
      <c r="B24" s="40" t="s">
        <v>173</v>
      </c>
      <c r="C24" s="42" t="s">
        <v>167</v>
      </c>
      <c r="D24" s="42">
        <v>10.7</v>
      </c>
      <c r="E24" s="42">
        <v>8.6999999999999993</v>
      </c>
      <c r="F24" s="127" t="s">
        <v>275</v>
      </c>
      <c r="G24" s="40" t="s">
        <v>600</v>
      </c>
    </row>
    <row r="25" spans="1:7" ht="15.75" x14ac:dyDescent="0.25">
      <c r="A25" s="41" t="s">
        <v>174</v>
      </c>
      <c r="B25" s="290" t="s">
        <v>175</v>
      </c>
      <c r="C25" s="290"/>
      <c r="D25" s="290"/>
      <c r="E25" s="290"/>
      <c r="F25" s="290"/>
      <c r="G25" s="290"/>
    </row>
    <row r="26" spans="1:7" ht="66.75" customHeight="1" x14ac:dyDescent="0.25">
      <c r="A26" s="41" t="s">
        <v>176</v>
      </c>
      <c r="B26" s="150" t="s">
        <v>177</v>
      </c>
      <c r="C26" s="42" t="s">
        <v>147</v>
      </c>
      <c r="D26" s="148">
        <v>100</v>
      </c>
      <c r="E26" s="148">
        <v>100</v>
      </c>
      <c r="F26" s="127">
        <v>99.99</v>
      </c>
      <c r="G26" s="151"/>
    </row>
    <row r="27" spans="1:7" ht="15.75" x14ac:dyDescent="0.25">
      <c r="A27" s="41" t="s">
        <v>178</v>
      </c>
      <c r="B27" s="290" t="s">
        <v>179</v>
      </c>
      <c r="C27" s="290"/>
      <c r="D27" s="290"/>
      <c r="E27" s="290"/>
      <c r="F27" s="290"/>
      <c r="G27" s="290"/>
    </row>
    <row r="28" spans="1:7" ht="107.25" customHeight="1" x14ac:dyDescent="0.25">
      <c r="A28" s="41" t="s">
        <v>180</v>
      </c>
      <c r="B28" s="40" t="s">
        <v>181</v>
      </c>
      <c r="C28" s="42" t="s">
        <v>147</v>
      </c>
      <c r="D28" s="148">
        <v>100</v>
      </c>
      <c r="E28" s="148">
        <v>100</v>
      </c>
      <c r="F28" s="148">
        <v>100</v>
      </c>
      <c r="G28" s="40"/>
    </row>
    <row r="29" spans="1:7" ht="57" customHeight="1" x14ac:dyDescent="0.25">
      <c r="A29" s="41" t="s">
        <v>182</v>
      </c>
      <c r="B29" s="40" t="s">
        <v>183</v>
      </c>
      <c r="C29" s="42" t="s">
        <v>31</v>
      </c>
      <c r="D29" s="42">
        <v>1626</v>
      </c>
      <c r="E29" s="142">
        <v>2600</v>
      </c>
      <c r="F29" s="142">
        <v>3112</v>
      </c>
      <c r="G29" s="40"/>
    </row>
    <row r="30" spans="1:7" ht="54.75" customHeight="1" x14ac:dyDescent="0.25">
      <c r="A30" s="41" t="s">
        <v>184</v>
      </c>
      <c r="B30" s="40" t="s">
        <v>185</v>
      </c>
      <c r="C30" s="42" t="s">
        <v>186</v>
      </c>
      <c r="D30" s="42">
        <v>4816</v>
      </c>
      <c r="E30" s="142">
        <v>8300</v>
      </c>
      <c r="F30" s="142">
        <v>8652</v>
      </c>
      <c r="G30" s="40"/>
    </row>
    <row r="31" spans="1:7" ht="53.25" customHeight="1" x14ac:dyDescent="0.25">
      <c r="A31" s="41" t="s">
        <v>187</v>
      </c>
      <c r="B31" s="40" t="s">
        <v>188</v>
      </c>
      <c r="C31" s="42" t="s">
        <v>31</v>
      </c>
      <c r="D31" s="42">
        <v>2472</v>
      </c>
      <c r="E31" s="142">
        <v>4700</v>
      </c>
      <c r="F31" s="142">
        <v>7778</v>
      </c>
      <c r="G31" s="40"/>
    </row>
    <row r="32" spans="1:7" ht="15.75" x14ac:dyDescent="0.25">
      <c r="A32" s="41" t="s">
        <v>189</v>
      </c>
      <c r="B32" s="290" t="s">
        <v>190</v>
      </c>
      <c r="C32" s="290"/>
      <c r="D32" s="290"/>
      <c r="E32" s="290"/>
      <c r="F32" s="290"/>
      <c r="G32" s="290"/>
    </row>
    <row r="33" spans="1:7" ht="182.25" customHeight="1" x14ac:dyDescent="0.25">
      <c r="A33" s="41" t="s">
        <v>191</v>
      </c>
      <c r="B33" s="40" t="s">
        <v>192</v>
      </c>
      <c r="C33" s="42" t="s">
        <v>147</v>
      </c>
      <c r="D33" s="148">
        <v>91.5</v>
      </c>
      <c r="E33" s="148">
        <v>94</v>
      </c>
      <c r="F33" s="127">
        <v>94.8</v>
      </c>
      <c r="G33" s="40"/>
    </row>
    <row r="34" spans="1:7" ht="117.75" customHeight="1" x14ac:dyDescent="0.25">
      <c r="A34" s="41" t="s">
        <v>598</v>
      </c>
      <c r="B34" s="40" t="s">
        <v>193</v>
      </c>
      <c r="C34" s="42" t="s">
        <v>469</v>
      </c>
      <c r="D34" s="42">
        <v>1.62</v>
      </c>
      <c r="E34" s="174">
        <v>1.7529999999999999</v>
      </c>
      <c r="F34" s="172">
        <v>1.61</v>
      </c>
      <c r="G34" s="40"/>
    </row>
    <row r="35" spans="1:7" ht="120.75" customHeight="1" x14ac:dyDescent="0.25">
      <c r="A35" s="41" t="s">
        <v>597</v>
      </c>
      <c r="B35" s="40" t="s">
        <v>194</v>
      </c>
      <c r="C35" s="42" t="s">
        <v>31</v>
      </c>
      <c r="D35" s="148">
        <v>100.58</v>
      </c>
      <c r="E35" s="42">
        <v>111.7</v>
      </c>
      <c r="F35" s="127">
        <v>100.5</v>
      </c>
      <c r="G35" s="40"/>
    </row>
    <row r="36" spans="1:7" ht="121.5" customHeight="1" x14ac:dyDescent="0.25">
      <c r="A36" s="41" t="s">
        <v>596</v>
      </c>
      <c r="B36" s="40" t="s">
        <v>195</v>
      </c>
      <c r="C36" s="42" t="s">
        <v>31</v>
      </c>
      <c r="D36" s="175">
        <v>76.319999999999993</v>
      </c>
      <c r="E36" s="42">
        <v>90.5</v>
      </c>
      <c r="F36" s="127">
        <v>75.599999999999994</v>
      </c>
      <c r="G36" s="40"/>
    </row>
    <row r="37" spans="1:7" ht="42.75" customHeight="1" x14ac:dyDescent="0.25">
      <c r="A37" s="41" t="s">
        <v>595</v>
      </c>
      <c r="B37" s="40" t="s">
        <v>259</v>
      </c>
      <c r="C37" s="42" t="s">
        <v>186</v>
      </c>
      <c r="D37" s="42" t="s">
        <v>275</v>
      </c>
      <c r="E37" s="174">
        <v>0.61499999999999999</v>
      </c>
      <c r="F37" s="174">
        <v>0.57999999999999996</v>
      </c>
      <c r="G37" s="40"/>
    </row>
    <row r="38" spans="1:7" ht="43.5" customHeight="1" x14ac:dyDescent="0.25">
      <c r="A38" s="41" t="s">
        <v>594</v>
      </c>
      <c r="B38" s="40" t="s">
        <v>260</v>
      </c>
      <c r="C38" s="42" t="s">
        <v>186</v>
      </c>
      <c r="D38" s="42" t="s">
        <v>275</v>
      </c>
      <c r="E38" s="174">
        <v>0.38300000000000001</v>
      </c>
      <c r="F38" s="174">
        <v>0.35</v>
      </c>
      <c r="G38" s="40"/>
    </row>
    <row r="39" spans="1:7" ht="78.75" customHeight="1" x14ac:dyDescent="0.25">
      <c r="A39" s="41" t="s">
        <v>593</v>
      </c>
      <c r="B39" s="40" t="s">
        <v>261</v>
      </c>
      <c r="C39" s="42" t="s">
        <v>186</v>
      </c>
      <c r="D39" s="42" t="s">
        <v>275</v>
      </c>
      <c r="E39" s="148">
        <v>43.68</v>
      </c>
      <c r="F39" s="127">
        <v>40.5</v>
      </c>
      <c r="G39" s="40"/>
    </row>
    <row r="40" spans="1:7" ht="78" customHeight="1" x14ac:dyDescent="0.25">
      <c r="A40" s="41" t="s">
        <v>281</v>
      </c>
      <c r="B40" s="40" t="s">
        <v>282</v>
      </c>
      <c r="C40" s="42" t="s">
        <v>147</v>
      </c>
      <c r="D40" s="42" t="s">
        <v>275</v>
      </c>
      <c r="E40" s="42">
        <v>59.7</v>
      </c>
      <c r="F40" s="127">
        <v>61.3</v>
      </c>
      <c r="G40" s="40"/>
    </row>
    <row r="41" spans="1:7" ht="21.75" customHeight="1" x14ac:dyDescent="0.25">
      <c r="A41" s="294"/>
      <c r="B41" s="294"/>
      <c r="C41" s="294"/>
      <c r="D41" s="294"/>
      <c r="E41" s="294"/>
      <c r="F41" s="294"/>
      <c r="G41" s="294"/>
    </row>
    <row r="42" spans="1:7" ht="25.5" customHeight="1" x14ac:dyDescent="0.25">
      <c r="A42" s="295"/>
      <c r="B42" s="295"/>
      <c r="C42" s="295"/>
      <c r="D42" s="295"/>
      <c r="E42" s="295"/>
      <c r="F42" s="295"/>
      <c r="G42" s="295"/>
    </row>
    <row r="43" spans="1:7" ht="39.75" customHeight="1" x14ac:dyDescent="0.25">
      <c r="A43" s="295"/>
      <c r="B43" s="295"/>
      <c r="C43" s="295"/>
      <c r="D43" s="295"/>
      <c r="E43" s="295"/>
      <c r="F43" s="295"/>
      <c r="G43" s="295"/>
    </row>
    <row r="44" spans="1:7" ht="81" customHeight="1" x14ac:dyDescent="0.3">
      <c r="A44" s="288" t="s">
        <v>592</v>
      </c>
      <c r="B44" s="291"/>
      <c r="C44" s="45"/>
      <c r="D44" s="45"/>
      <c r="E44" s="45"/>
      <c r="F44" s="292" t="s">
        <v>599</v>
      </c>
      <c r="G44" s="292"/>
    </row>
    <row r="46" spans="1:7" ht="15" customHeight="1" x14ac:dyDescent="0.25">
      <c r="A46" s="293"/>
      <c r="B46" s="293"/>
      <c r="C46" s="293"/>
    </row>
    <row r="47" spans="1:7" x14ac:dyDescent="0.25">
      <c r="A47" s="293"/>
      <c r="B47" s="293"/>
      <c r="C47" s="293"/>
    </row>
    <row r="48" spans="1:7" ht="42" customHeight="1" x14ac:dyDescent="0.25"/>
    <row r="49" spans="1:2" x14ac:dyDescent="0.25">
      <c r="A49" s="289"/>
      <c r="B49" s="289"/>
    </row>
    <row r="51" spans="1:2" x14ac:dyDescent="0.25">
      <c r="A51" s="296" t="s">
        <v>521</v>
      </c>
      <c r="B51" s="296"/>
    </row>
    <row r="52" spans="1:2" x14ac:dyDescent="0.25">
      <c r="A52" s="296" t="s">
        <v>522</v>
      </c>
      <c r="B52" s="296"/>
    </row>
    <row r="53" spans="1:2" x14ac:dyDescent="0.25">
      <c r="A53" s="296"/>
      <c r="B53" s="296"/>
    </row>
    <row r="54" spans="1:2" x14ac:dyDescent="0.25">
      <c r="A54" s="296"/>
      <c r="B54" s="296"/>
    </row>
    <row r="55" spans="1:2" ht="18.75" customHeight="1" x14ac:dyDescent="0.25">
      <c r="A55" s="288"/>
      <c r="B55" s="288"/>
    </row>
    <row r="56" spans="1:2" ht="15" customHeight="1" x14ac:dyDescent="0.25">
      <c r="A56" s="288"/>
      <c r="B56" s="288"/>
    </row>
  </sheetData>
  <customSheetViews>
    <customSheetView guid="{DAA129B7-49F7-47F4-BBAF-F3BC13A03360}" scale="80" showPageBreaks="1" printArea="1" view="pageBreakPreview" topLeftCell="A21">
      <selection activeCell="B11" sqref="B11"/>
      <pageMargins left="0.70866141732283472" right="0.70866141732283472" top="0.74803149606299213" bottom="0.74803149606299213" header="0.31496062992125984" footer="0.31496062992125984"/>
      <pageSetup paperSize="9" scale="81" orientation="portrait" r:id="rId1"/>
    </customSheetView>
    <customSheetView guid="{9C37FF47-DD3C-484B-9633-D678A759C142}" scale="80" showPageBreaks="1" printArea="1" view="pageBreakPreview" topLeftCell="A25">
      <selection activeCell="G39" sqref="G39"/>
      <rowBreaks count="2" manualBreakCount="2">
        <brk id="32" max="6" man="1"/>
        <brk id="46" max="6" man="1"/>
      </rowBreaks>
      <pageMargins left="0.70866141732283472" right="0.70866141732283472" top="0.74803149606299213" bottom="0.74803149606299213" header="0.31496062992125984" footer="0.31496062992125984"/>
      <pageSetup paperSize="9" scale="70" orientation="portrait" r:id="rId2"/>
    </customSheetView>
  </customSheetViews>
  <mergeCells count="24">
    <mergeCell ref="A55:B56"/>
    <mergeCell ref="A49:B49"/>
    <mergeCell ref="B25:G25"/>
    <mergeCell ref="B27:G27"/>
    <mergeCell ref="B32:G32"/>
    <mergeCell ref="A44:B44"/>
    <mergeCell ref="F44:G44"/>
    <mergeCell ref="A46:C47"/>
    <mergeCell ref="A41:G42"/>
    <mergeCell ref="A43:G43"/>
    <mergeCell ref="A53:B53"/>
    <mergeCell ref="A54:B54"/>
    <mergeCell ref="A51:B51"/>
    <mergeCell ref="A52:B52"/>
    <mergeCell ref="A1:G1"/>
    <mergeCell ref="A2:G2"/>
    <mergeCell ref="A3:G3"/>
    <mergeCell ref="A4:G4"/>
    <mergeCell ref="A6:A8"/>
    <mergeCell ref="B6:B8"/>
    <mergeCell ref="C6:C8"/>
    <mergeCell ref="D6:F6"/>
    <mergeCell ref="G6:G8"/>
    <mergeCell ref="E7:F7"/>
  </mergeCells>
  <pageMargins left="0.70866141732283472" right="0.70866141732283472" top="0.74803149606299213" bottom="0.74803149606299213" header="0.31496062992125984" footer="0.31496062992125984"/>
  <pageSetup paperSize="9" scale="81" fitToHeight="0" orientation="portrait" r:id="rId3"/>
  <rowBreaks count="3" manualBreakCount="3">
    <brk id="20" max="6" man="1"/>
    <brk id="33" max="6" man="1"/>
    <brk id="5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9"/>
  <sheetViews>
    <sheetView view="pageBreakPreview" zoomScale="50" zoomScaleNormal="30" zoomScaleSheetLayoutView="50" workbookViewId="0">
      <pane xSplit="1" topLeftCell="B1" activePane="topRight" state="frozen"/>
      <selection activeCell="A53" sqref="A53"/>
      <selection pane="topRight" activeCell="O142" sqref="O142"/>
    </sheetView>
  </sheetViews>
  <sheetFormatPr defaultRowHeight="18.75" x14ac:dyDescent="0.3"/>
  <cols>
    <col min="1" max="1" width="13" style="79" customWidth="1"/>
    <col min="2" max="2" width="38.85546875" style="79" customWidth="1"/>
    <col min="3" max="3" width="9.140625" style="79" customWidth="1"/>
    <col min="4" max="4" width="40.140625" style="118" customWidth="1"/>
    <col min="5" max="5" width="19.5703125" style="79" customWidth="1"/>
    <col min="6" max="6" width="17.28515625" style="79" customWidth="1"/>
    <col min="7" max="7" width="18.140625" style="79" customWidth="1"/>
    <col min="8" max="8" width="19.5703125" style="156" customWidth="1"/>
    <col min="9" max="9" width="23.5703125" style="79" customWidth="1"/>
    <col min="10" max="10" width="22.28515625" style="79" customWidth="1"/>
    <col min="11" max="11" width="21.7109375" style="79" customWidth="1"/>
    <col min="12" max="12" width="21.42578125" style="79" customWidth="1"/>
    <col min="13" max="14" width="19.42578125" style="79" customWidth="1"/>
    <col min="15" max="15" width="20.7109375" style="79" customWidth="1"/>
    <col min="16" max="16" width="20.28515625" style="79" customWidth="1"/>
    <col min="17" max="17" width="29" style="138" customWidth="1"/>
    <col min="18" max="16384" width="9.140625" style="79"/>
  </cols>
  <sheetData>
    <row r="1" spans="1:19" x14ac:dyDescent="0.3">
      <c r="A1" s="46"/>
      <c r="B1" s="303" t="s">
        <v>133</v>
      </c>
      <c r="C1" s="303"/>
      <c r="D1" s="303"/>
      <c r="E1" s="303"/>
      <c r="F1" s="303"/>
      <c r="G1" s="303"/>
      <c r="H1" s="303"/>
      <c r="I1" s="303"/>
      <c r="J1" s="303"/>
      <c r="K1" s="303"/>
      <c r="L1" s="303"/>
      <c r="M1" s="303"/>
      <c r="N1" s="303"/>
      <c r="O1" s="303"/>
      <c r="P1" s="303"/>
      <c r="Q1" s="137"/>
      <c r="R1" s="49"/>
      <c r="S1" s="49"/>
    </row>
    <row r="2" spans="1:19" x14ac:dyDescent="0.3">
      <c r="A2" s="50" t="s">
        <v>196</v>
      </c>
      <c r="B2" s="304" t="s">
        <v>197</v>
      </c>
      <c r="C2" s="304"/>
      <c r="D2" s="304"/>
      <c r="E2" s="304"/>
      <c r="F2" s="304"/>
      <c r="G2" s="304"/>
      <c r="H2" s="304"/>
      <c r="I2" s="304"/>
      <c r="J2" s="304"/>
      <c r="K2" s="304"/>
      <c r="L2" s="304"/>
      <c r="M2" s="304"/>
      <c r="N2" s="304"/>
      <c r="O2" s="304"/>
      <c r="P2" s="304"/>
      <c r="Q2" s="51"/>
      <c r="R2" s="49"/>
      <c r="S2" s="49"/>
    </row>
    <row r="3" spans="1:19" x14ac:dyDescent="0.3">
      <c r="A3" s="50" t="s">
        <v>198</v>
      </c>
      <c r="B3" s="304" t="s">
        <v>199</v>
      </c>
      <c r="C3" s="304"/>
      <c r="D3" s="304"/>
      <c r="E3" s="304"/>
      <c r="F3" s="304"/>
      <c r="G3" s="304"/>
      <c r="H3" s="304"/>
      <c r="I3" s="304"/>
      <c r="J3" s="304"/>
      <c r="K3" s="304"/>
      <c r="L3" s="304"/>
      <c r="M3" s="304"/>
      <c r="N3" s="304"/>
      <c r="O3" s="304"/>
      <c r="P3" s="304"/>
      <c r="Q3" s="51"/>
      <c r="R3" s="48"/>
      <c r="S3" s="48"/>
    </row>
    <row r="4" spans="1:19" ht="18.75" customHeight="1" x14ac:dyDescent="0.3">
      <c r="A4" s="52" t="s">
        <v>200</v>
      </c>
      <c r="B4" s="305" t="s">
        <v>424</v>
      </c>
      <c r="C4" s="305"/>
      <c r="D4" s="305"/>
      <c r="E4" s="305"/>
      <c r="F4" s="305"/>
      <c r="G4" s="305"/>
      <c r="H4" s="305"/>
      <c r="I4" s="305"/>
      <c r="J4" s="305"/>
      <c r="K4" s="305"/>
      <c r="L4" s="305"/>
      <c r="M4" s="305"/>
      <c r="N4" s="305"/>
      <c r="O4" s="305"/>
      <c r="P4" s="305"/>
      <c r="Q4" s="53"/>
      <c r="R4" s="48"/>
      <c r="S4" s="48"/>
    </row>
    <row r="5" spans="1:19" x14ac:dyDescent="0.25">
      <c r="A5" s="54"/>
      <c r="B5" s="55"/>
      <c r="C5" s="54"/>
      <c r="D5" s="115"/>
      <c r="E5" s="54"/>
      <c r="F5" s="54"/>
      <c r="G5" s="54"/>
      <c r="H5" s="54"/>
      <c r="I5" s="47"/>
      <c r="J5" s="47"/>
      <c r="K5" s="47"/>
      <c r="L5" s="47"/>
      <c r="M5" s="47"/>
      <c r="N5" s="47"/>
      <c r="O5" s="47"/>
      <c r="P5" s="47"/>
      <c r="Q5" s="67"/>
      <c r="R5" s="48"/>
      <c r="S5" s="48"/>
    </row>
    <row r="6" spans="1:19" ht="18.75" customHeight="1" x14ac:dyDescent="0.25">
      <c r="A6" s="300" t="s">
        <v>201</v>
      </c>
      <c r="B6" s="301" t="s">
        <v>202</v>
      </c>
      <c r="C6" s="306" t="s">
        <v>203</v>
      </c>
      <c r="D6" s="307" t="s">
        <v>204</v>
      </c>
      <c r="E6" s="306" t="s">
        <v>205</v>
      </c>
      <c r="F6" s="306" t="s">
        <v>206</v>
      </c>
      <c r="G6" s="306" t="s">
        <v>207</v>
      </c>
      <c r="H6" s="306" t="s">
        <v>208</v>
      </c>
      <c r="I6" s="312" t="s">
        <v>209</v>
      </c>
      <c r="J6" s="312"/>
      <c r="K6" s="312"/>
      <c r="L6" s="312"/>
      <c r="M6" s="312"/>
      <c r="N6" s="312"/>
      <c r="O6" s="312"/>
      <c r="P6" s="312"/>
      <c r="Q6" s="301" t="s">
        <v>326</v>
      </c>
      <c r="R6" s="57"/>
      <c r="S6" s="57"/>
    </row>
    <row r="7" spans="1:19" x14ac:dyDescent="0.25">
      <c r="A7" s="300"/>
      <c r="B7" s="301"/>
      <c r="C7" s="306"/>
      <c r="D7" s="307"/>
      <c r="E7" s="306"/>
      <c r="F7" s="306"/>
      <c r="G7" s="306"/>
      <c r="H7" s="306"/>
      <c r="I7" s="310" t="s">
        <v>210</v>
      </c>
      <c r="J7" s="310"/>
      <c r="K7" s="311" t="s">
        <v>211</v>
      </c>
      <c r="L7" s="311"/>
      <c r="M7" s="310" t="s">
        <v>212</v>
      </c>
      <c r="N7" s="310"/>
      <c r="O7" s="310" t="s">
        <v>213</v>
      </c>
      <c r="P7" s="310"/>
      <c r="Q7" s="301"/>
      <c r="R7" s="48"/>
      <c r="S7" s="48"/>
    </row>
    <row r="8" spans="1:19" ht="141.75" customHeight="1" x14ac:dyDescent="0.25">
      <c r="A8" s="300"/>
      <c r="B8" s="301"/>
      <c r="C8" s="306"/>
      <c r="D8" s="307"/>
      <c r="E8" s="306"/>
      <c r="F8" s="306"/>
      <c r="G8" s="306"/>
      <c r="H8" s="306"/>
      <c r="I8" s="163" t="s">
        <v>141</v>
      </c>
      <c r="J8" s="163" t="s">
        <v>140</v>
      </c>
      <c r="K8" s="163" t="s">
        <v>141</v>
      </c>
      <c r="L8" s="163" t="s">
        <v>140</v>
      </c>
      <c r="M8" s="163" t="s">
        <v>141</v>
      </c>
      <c r="N8" s="163" t="s">
        <v>140</v>
      </c>
      <c r="O8" s="163" t="s">
        <v>141</v>
      </c>
      <c r="P8" s="163" t="s">
        <v>140</v>
      </c>
      <c r="Q8" s="301"/>
      <c r="R8" s="48"/>
      <c r="S8" s="48"/>
    </row>
    <row r="9" spans="1:19" x14ac:dyDescent="0.25">
      <c r="A9" s="58">
        <v>1</v>
      </c>
      <c r="B9" s="59">
        <v>2</v>
      </c>
      <c r="C9" s="59">
        <v>3</v>
      </c>
      <c r="D9" s="116">
        <v>4</v>
      </c>
      <c r="E9" s="59">
        <v>5</v>
      </c>
      <c r="F9" s="59">
        <v>6</v>
      </c>
      <c r="G9" s="59">
        <v>7</v>
      </c>
      <c r="H9" s="59">
        <v>8</v>
      </c>
      <c r="I9" s="60">
        <v>9</v>
      </c>
      <c r="J9" s="60">
        <v>10</v>
      </c>
      <c r="K9" s="60">
        <v>11</v>
      </c>
      <c r="L9" s="60">
        <v>12</v>
      </c>
      <c r="M9" s="60">
        <v>13</v>
      </c>
      <c r="N9" s="60">
        <v>14</v>
      </c>
      <c r="O9" s="60">
        <v>15</v>
      </c>
      <c r="P9" s="60">
        <v>16</v>
      </c>
      <c r="Q9" s="59">
        <v>17</v>
      </c>
      <c r="R9" s="57"/>
      <c r="S9" s="57"/>
    </row>
    <row r="10" spans="1:19" ht="68.25" customHeight="1" x14ac:dyDescent="0.25">
      <c r="A10" s="162" t="s">
        <v>78</v>
      </c>
      <c r="B10" s="157" t="s">
        <v>214</v>
      </c>
      <c r="C10" s="165"/>
      <c r="D10" s="164" t="s">
        <v>27</v>
      </c>
      <c r="E10" s="159" t="s">
        <v>268</v>
      </c>
      <c r="F10" s="159" t="s">
        <v>269</v>
      </c>
      <c r="G10" s="159" t="s">
        <v>268</v>
      </c>
      <c r="H10" s="158">
        <v>44196</v>
      </c>
      <c r="I10" s="160">
        <f>I11</f>
        <v>272777.09999999998</v>
      </c>
      <c r="J10" s="160">
        <f t="shared" ref="J10:L10" si="0">J11</f>
        <v>274724.40000000002</v>
      </c>
      <c r="K10" s="160">
        <v>358760.7</v>
      </c>
      <c r="L10" s="160">
        <f t="shared" si="0"/>
        <v>377065</v>
      </c>
      <c r="M10" s="160">
        <f>M11</f>
        <v>360772.8</v>
      </c>
      <c r="N10" s="160">
        <f>N11</f>
        <v>343924.5</v>
      </c>
      <c r="O10" s="160">
        <f>O11</f>
        <v>453218.4</v>
      </c>
      <c r="P10" s="160">
        <f>P11</f>
        <v>438915.70000000007</v>
      </c>
      <c r="Q10" s="165" t="s">
        <v>23</v>
      </c>
      <c r="R10" s="48"/>
      <c r="S10" s="48"/>
    </row>
    <row r="11" spans="1:19" ht="372.75" customHeight="1" x14ac:dyDescent="0.25">
      <c r="A11" s="162" t="s">
        <v>25</v>
      </c>
      <c r="B11" s="157" t="s">
        <v>26</v>
      </c>
      <c r="C11" s="164"/>
      <c r="D11" s="164" t="s">
        <v>379</v>
      </c>
      <c r="E11" s="159" t="s">
        <v>268</v>
      </c>
      <c r="F11" s="159" t="s">
        <v>269</v>
      </c>
      <c r="G11" s="159" t="s">
        <v>268</v>
      </c>
      <c r="H11" s="158">
        <v>44196</v>
      </c>
      <c r="I11" s="160">
        <v>272777.09999999998</v>
      </c>
      <c r="J11" s="160">
        <v>274724.40000000002</v>
      </c>
      <c r="K11" s="160">
        <v>358760.7</v>
      </c>
      <c r="L11" s="160">
        <f>651789.4-J11</f>
        <v>377065</v>
      </c>
      <c r="M11" s="160">
        <v>360772.8</v>
      </c>
      <c r="N11" s="160">
        <f>995713.9-L11-J11</f>
        <v>343924.5</v>
      </c>
      <c r="O11" s="160">
        <v>453218.4</v>
      </c>
      <c r="P11" s="160">
        <f>1434629.6-N11-L11-J11</f>
        <v>438915.70000000007</v>
      </c>
      <c r="Q11" s="141" t="s">
        <v>497</v>
      </c>
      <c r="R11" s="48"/>
      <c r="S11" s="48"/>
    </row>
    <row r="12" spans="1:19" ht="25.5" customHeight="1" x14ac:dyDescent="0.25">
      <c r="A12" s="62" t="s">
        <v>28</v>
      </c>
      <c r="B12" s="309" t="s">
        <v>215</v>
      </c>
      <c r="C12" s="309"/>
      <c r="D12" s="309"/>
      <c r="E12" s="309"/>
      <c r="F12" s="309"/>
      <c r="G12" s="309"/>
      <c r="H12" s="309"/>
      <c r="I12" s="91">
        <f t="shared" ref="I12:P12" si="1">I13+I15+I16+I17+I19+I20+I21+I23+I24+I26+I27+I28+I29+I30+I32+I33+I34+I35+I36+I38+I40+I41+I42+I45+I46+I47+I49+I50+I14+I18+I22+I39+I51+I48</f>
        <v>4491136.5</v>
      </c>
      <c r="J12" s="91">
        <f t="shared" si="1"/>
        <v>4533779.5999999996</v>
      </c>
      <c r="K12" s="91">
        <f t="shared" si="1"/>
        <v>3292020.8</v>
      </c>
      <c r="L12" s="91">
        <f t="shared" si="1"/>
        <v>3354826.7000000007</v>
      </c>
      <c r="M12" s="91">
        <f t="shared" si="1"/>
        <v>2837069.9999999995</v>
      </c>
      <c r="N12" s="91">
        <f t="shared" si="1"/>
        <v>2836137.8000000007</v>
      </c>
      <c r="O12" s="91">
        <f>O13+O15+O16+O17+O19+O20+O21+O23+O24+O26+O27+O28+O29+O30+O32+O33+O34+O35+O36+O38+O40+O41+O42+O45+O46+O47+O49+O50+O14+O18+O22+O39+O51+O48</f>
        <v>5000393.4000000004</v>
      </c>
      <c r="P12" s="91">
        <f t="shared" si="1"/>
        <v>4508758.3000000007</v>
      </c>
      <c r="Q12" s="161"/>
      <c r="R12" s="63"/>
      <c r="S12" s="63"/>
    </row>
    <row r="13" spans="1:19" ht="384.75" customHeight="1" x14ac:dyDescent="0.25">
      <c r="A13" s="162" t="s">
        <v>25</v>
      </c>
      <c r="B13" s="157" t="s">
        <v>30</v>
      </c>
      <c r="C13" s="165"/>
      <c r="D13" s="164" t="s">
        <v>380</v>
      </c>
      <c r="E13" s="159" t="s">
        <v>268</v>
      </c>
      <c r="F13" s="159" t="s">
        <v>269</v>
      </c>
      <c r="G13" s="159" t="s">
        <v>268</v>
      </c>
      <c r="H13" s="158">
        <v>44196</v>
      </c>
      <c r="I13" s="160">
        <v>94097.5</v>
      </c>
      <c r="J13" s="160">
        <v>94097.5</v>
      </c>
      <c r="K13" s="160">
        <v>95414.3</v>
      </c>
      <c r="L13" s="160">
        <f>219718.4-J13</f>
        <v>125620.9</v>
      </c>
      <c r="M13" s="160">
        <v>97084.4</v>
      </c>
      <c r="N13" s="160">
        <f>286586.4-L13-J13</f>
        <v>66868.000000000029</v>
      </c>
      <c r="O13" s="160">
        <v>101870.39999999999</v>
      </c>
      <c r="P13" s="160">
        <f>384203.1-N13-L13-J13</f>
        <v>97616.699999999983</v>
      </c>
      <c r="Q13" s="140" t="s">
        <v>498</v>
      </c>
      <c r="R13" s="48"/>
      <c r="S13" s="48"/>
    </row>
    <row r="14" spans="1:19" ht="378" customHeight="1" x14ac:dyDescent="0.25">
      <c r="A14" s="162" t="s">
        <v>33</v>
      </c>
      <c r="B14" s="157" t="s">
        <v>216</v>
      </c>
      <c r="C14" s="165"/>
      <c r="D14" s="164" t="s">
        <v>381</v>
      </c>
      <c r="E14" s="159" t="s">
        <v>268</v>
      </c>
      <c r="F14" s="159" t="s">
        <v>269</v>
      </c>
      <c r="G14" s="159" t="s">
        <v>268</v>
      </c>
      <c r="H14" s="158">
        <v>44196</v>
      </c>
      <c r="I14" s="160">
        <v>996.6</v>
      </c>
      <c r="J14" s="160">
        <v>996.6</v>
      </c>
      <c r="K14" s="160">
        <v>920.5</v>
      </c>
      <c r="L14" s="160">
        <f>2197.5-J14</f>
        <v>1200.9000000000001</v>
      </c>
      <c r="M14" s="160">
        <v>916.2</v>
      </c>
      <c r="N14" s="160">
        <f>2833.2-L14-J14</f>
        <v>635.6999999999997</v>
      </c>
      <c r="O14" s="160">
        <v>1136</v>
      </c>
      <c r="P14" s="160">
        <f>3733.7-N14-L14-J14</f>
        <v>900.49999999999989</v>
      </c>
      <c r="Q14" s="140" t="s">
        <v>499</v>
      </c>
      <c r="R14" s="48"/>
      <c r="S14" s="48"/>
    </row>
    <row r="15" spans="1:19" ht="321.75" customHeight="1" x14ac:dyDescent="0.25">
      <c r="A15" s="162" t="s">
        <v>34</v>
      </c>
      <c r="B15" s="157" t="s">
        <v>217</v>
      </c>
      <c r="C15" s="165"/>
      <c r="D15" s="164" t="s">
        <v>381</v>
      </c>
      <c r="E15" s="159" t="s">
        <v>268</v>
      </c>
      <c r="F15" s="159" t="s">
        <v>269</v>
      </c>
      <c r="G15" s="159" t="s">
        <v>268</v>
      </c>
      <c r="H15" s="158">
        <v>44196</v>
      </c>
      <c r="I15" s="160">
        <v>5512.9</v>
      </c>
      <c r="J15" s="160">
        <v>5512.9</v>
      </c>
      <c r="K15" s="160">
        <v>5438.8</v>
      </c>
      <c r="L15" s="160">
        <f>12700.8-J15</f>
        <v>7187.9</v>
      </c>
      <c r="M15" s="160">
        <v>5418.8</v>
      </c>
      <c r="N15" s="160">
        <f>16370.5-L15-J15</f>
        <v>3669.7000000000007</v>
      </c>
      <c r="O15" s="160">
        <v>6423</v>
      </c>
      <c r="P15" s="160">
        <f>21820.2-N15-L15-J15</f>
        <v>5449.7000000000007</v>
      </c>
      <c r="Q15" s="139" t="s">
        <v>499</v>
      </c>
      <c r="R15" s="48"/>
      <c r="S15" s="48"/>
    </row>
    <row r="16" spans="1:19" ht="409.5" customHeight="1" x14ac:dyDescent="0.25">
      <c r="A16" s="162" t="s">
        <v>36</v>
      </c>
      <c r="B16" s="157" t="s">
        <v>276</v>
      </c>
      <c r="C16" s="165"/>
      <c r="D16" s="164" t="s">
        <v>381</v>
      </c>
      <c r="E16" s="158">
        <v>43839</v>
      </c>
      <c r="F16" s="159" t="s">
        <v>269</v>
      </c>
      <c r="G16" s="158">
        <v>43839</v>
      </c>
      <c r="H16" s="158">
        <v>44196</v>
      </c>
      <c r="I16" s="160">
        <v>9.3000000000000007</v>
      </c>
      <c r="J16" s="160">
        <v>9.3000000000000007</v>
      </c>
      <c r="K16" s="160">
        <v>18624.8</v>
      </c>
      <c r="L16" s="160">
        <f>18634.1-J16</f>
        <v>18624.8</v>
      </c>
      <c r="M16" s="160">
        <v>108.3</v>
      </c>
      <c r="N16" s="160">
        <f>18742.4-L16-J16</f>
        <v>108.30000000000219</v>
      </c>
      <c r="O16" s="160">
        <v>479.8</v>
      </c>
      <c r="P16" s="160">
        <f>18833.8-N16-L16-J16</f>
        <v>91.399999999997092</v>
      </c>
      <c r="Q16" s="157" t="s">
        <v>500</v>
      </c>
      <c r="R16" s="48"/>
      <c r="S16" s="48"/>
    </row>
    <row r="17" spans="1:19" ht="331.5" customHeight="1" x14ac:dyDescent="0.25">
      <c r="A17" s="162" t="s">
        <v>37</v>
      </c>
      <c r="B17" s="157" t="s">
        <v>218</v>
      </c>
      <c r="C17" s="165"/>
      <c r="D17" s="164" t="s">
        <v>382</v>
      </c>
      <c r="E17" s="159" t="s">
        <v>268</v>
      </c>
      <c r="F17" s="159" t="s">
        <v>269</v>
      </c>
      <c r="G17" s="159" t="s">
        <v>268</v>
      </c>
      <c r="H17" s="158">
        <v>44196</v>
      </c>
      <c r="I17" s="160">
        <v>45545</v>
      </c>
      <c r="J17" s="160">
        <v>45559.199999999997</v>
      </c>
      <c r="K17" s="160">
        <v>31378.400000000001</v>
      </c>
      <c r="L17" s="160">
        <f>76937.6-J17</f>
        <v>31378.400000000009</v>
      </c>
      <c r="M17" s="160">
        <v>34507.800000000003</v>
      </c>
      <c r="N17" s="160">
        <f>111430.2-L17-J17</f>
        <v>34492.599999999991</v>
      </c>
      <c r="O17" s="160">
        <v>34548.800000000003</v>
      </c>
      <c r="P17" s="160">
        <f>144057.5-N17-L17-J17</f>
        <v>32627.300000000003</v>
      </c>
      <c r="Q17" s="157" t="s">
        <v>501</v>
      </c>
      <c r="R17" s="48"/>
      <c r="S17" s="48"/>
    </row>
    <row r="18" spans="1:19" ht="368.25" customHeight="1" x14ac:dyDescent="0.25">
      <c r="A18" s="162" t="s">
        <v>39</v>
      </c>
      <c r="B18" s="157" t="s">
        <v>219</v>
      </c>
      <c r="C18" s="165"/>
      <c r="D18" s="164" t="s">
        <v>381</v>
      </c>
      <c r="E18" s="159" t="s">
        <v>268</v>
      </c>
      <c r="F18" s="159" t="s">
        <v>269</v>
      </c>
      <c r="G18" s="159" t="s">
        <v>268</v>
      </c>
      <c r="H18" s="158">
        <v>44196</v>
      </c>
      <c r="I18" s="160">
        <v>37</v>
      </c>
      <c r="J18" s="160">
        <v>37</v>
      </c>
      <c r="K18" s="160">
        <v>33.1</v>
      </c>
      <c r="L18" s="160">
        <f>70.1-J18</f>
        <v>33.099999999999994</v>
      </c>
      <c r="M18" s="160">
        <v>33</v>
      </c>
      <c r="N18" s="160">
        <f>103.1-L18-J18</f>
        <v>33</v>
      </c>
      <c r="O18" s="160">
        <v>175.1</v>
      </c>
      <c r="P18" s="160">
        <f>134.7-N18-L18-J18</f>
        <v>31.599999999999994</v>
      </c>
      <c r="Q18" s="157" t="s">
        <v>499</v>
      </c>
      <c r="R18" s="48"/>
      <c r="S18" s="48"/>
    </row>
    <row r="19" spans="1:19" ht="301.5" customHeight="1" x14ac:dyDescent="0.25">
      <c r="A19" s="162" t="s">
        <v>41</v>
      </c>
      <c r="B19" s="157" t="s">
        <v>220</v>
      </c>
      <c r="C19" s="165"/>
      <c r="D19" s="164" t="s">
        <v>382</v>
      </c>
      <c r="E19" s="159" t="s">
        <v>268</v>
      </c>
      <c r="F19" s="159" t="s">
        <v>269</v>
      </c>
      <c r="G19" s="159" t="s">
        <v>268</v>
      </c>
      <c r="H19" s="158">
        <v>44196</v>
      </c>
      <c r="I19" s="160">
        <v>626799.5</v>
      </c>
      <c r="J19" s="160">
        <v>634065.4</v>
      </c>
      <c r="K19" s="160">
        <v>644295.1</v>
      </c>
      <c r="L19" s="160">
        <f>1294606.6-'План реализации'!J19</f>
        <v>660541.20000000007</v>
      </c>
      <c r="M19" s="160">
        <v>659183.80000000005</v>
      </c>
      <c r="N19" s="160">
        <f>1954596.7-L19-J19</f>
        <v>659990.1</v>
      </c>
      <c r="O19" s="160">
        <v>774707.19999999995</v>
      </c>
      <c r="P19" s="160">
        <f>2642309.2-N19-L19-J19</f>
        <v>687712.49999999988</v>
      </c>
      <c r="Q19" s="157" t="s">
        <v>502</v>
      </c>
      <c r="R19" s="48"/>
      <c r="S19" s="48"/>
    </row>
    <row r="20" spans="1:19" ht="409.5" customHeight="1" x14ac:dyDescent="0.25">
      <c r="A20" s="162" t="s">
        <v>43</v>
      </c>
      <c r="B20" s="157" t="s">
        <v>221</v>
      </c>
      <c r="C20" s="165"/>
      <c r="D20" s="164" t="s">
        <v>383</v>
      </c>
      <c r="E20" s="159" t="s">
        <v>268</v>
      </c>
      <c r="F20" s="159" t="s">
        <v>269</v>
      </c>
      <c r="G20" s="159" t="s">
        <v>268</v>
      </c>
      <c r="H20" s="158">
        <v>44196</v>
      </c>
      <c r="I20" s="160">
        <v>396560.4</v>
      </c>
      <c r="J20" s="160">
        <v>396971.4</v>
      </c>
      <c r="K20" s="160">
        <v>246633.2</v>
      </c>
      <c r="L20" s="160">
        <f>643275.4-J20</f>
        <v>246304</v>
      </c>
      <c r="M20" s="160">
        <v>219845.1</v>
      </c>
      <c r="N20" s="160">
        <f>863125.5-L20-J20</f>
        <v>219850.09999999998</v>
      </c>
      <c r="O20" s="160">
        <v>586658.30000000005</v>
      </c>
      <c r="P20" s="160">
        <f>1426486.5-N20-L20-J20</f>
        <v>563360.99999999988</v>
      </c>
      <c r="Q20" s="157" t="s">
        <v>452</v>
      </c>
      <c r="R20" s="48"/>
      <c r="S20" s="48"/>
    </row>
    <row r="21" spans="1:19" ht="321.75" customHeight="1" x14ac:dyDescent="0.25">
      <c r="A21" s="162" t="s">
        <v>45</v>
      </c>
      <c r="B21" s="157" t="s">
        <v>354</v>
      </c>
      <c r="C21" s="165"/>
      <c r="D21" s="164" t="s">
        <v>384</v>
      </c>
      <c r="E21" s="159" t="s">
        <v>268</v>
      </c>
      <c r="F21" s="159" t="s">
        <v>269</v>
      </c>
      <c r="G21" s="159" t="s">
        <v>268</v>
      </c>
      <c r="H21" s="158">
        <v>44196</v>
      </c>
      <c r="I21" s="160">
        <v>1047129.9</v>
      </c>
      <c r="J21" s="160">
        <v>1064035.8</v>
      </c>
      <c r="K21" s="160">
        <v>795609.2</v>
      </c>
      <c r="L21" s="160">
        <f>1860997.6-J21</f>
        <v>796961.8</v>
      </c>
      <c r="M21" s="160">
        <v>530873.1</v>
      </c>
      <c r="N21" s="160">
        <f>2411909.7-L21-J21</f>
        <v>550912.10000000009</v>
      </c>
      <c r="O21" s="160">
        <v>1288974.1000000001</v>
      </c>
      <c r="P21" s="160">
        <f>3573733.9-N21-L21-J21</f>
        <v>1161824.2</v>
      </c>
      <c r="Q21" s="157" t="s">
        <v>453</v>
      </c>
      <c r="R21" s="57"/>
      <c r="S21" s="57"/>
    </row>
    <row r="22" spans="1:19" ht="375.75" customHeight="1" x14ac:dyDescent="0.25">
      <c r="A22" s="119" t="s">
        <v>46</v>
      </c>
      <c r="B22" s="157" t="s">
        <v>222</v>
      </c>
      <c r="C22" s="165"/>
      <c r="D22" s="164" t="s">
        <v>385</v>
      </c>
      <c r="E22" s="158">
        <v>43839</v>
      </c>
      <c r="F22" s="159" t="s">
        <v>269</v>
      </c>
      <c r="G22" s="158">
        <v>43839</v>
      </c>
      <c r="H22" s="158">
        <v>44196</v>
      </c>
      <c r="I22" s="160">
        <v>4941.5</v>
      </c>
      <c r="J22" s="160">
        <v>5072.3</v>
      </c>
      <c r="K22" s="160">
        <v>4890.6000000000004</v>
      </c>
      <c r="L22" s="160">
        <f>9969-J22</f>
        <v>4896.7</v>
      </c>
      <c r="M22" s="160">
        <v>5268.2</v>
      </c>
      <c r="N22" s="160">
        <f>(6022.7+9296.2)-L22-J22</f>
        <v>5349.9000000000005</v>
      </c>
      <c r="O22" s="160">
        <v>5630.9</v>
      </c>
      <c r="P22" s="160">
        <f>20701.4-N22-L22-J22</f>
        <v>5382.4999999999991</v>
      </c>
      <c r="Q22" s="157" t="s">
        <v>503</v>
      </c>
      <c r="R22" s="48"/>
      <c r="S22" s="48"/>
    </row>
    <row r="23" spans="1:19" ht="409.5" customHeight="1" x14ac:dyDescent="0.25">
      <c r="A23" s="119" t="s">
        <v>47</v>
      </c>
      <c r="B23" s="157" t="s">
        <v>353</v>
      </c>
      <c r="C23" s="165"/>
      <c r="D23" s="164" t="s">
        <v>386</v>
      </c>
      <c r="E23" s="158">
        <v>43839</v>
      </c>
      <c r="F23" s="159" t="s">
        <v>269</v>
      </c>
      <c r="G23" s="158">
        <v>43839</v>
      </c>
      <c r="H23" s="158">
        <v>44196</v>
      </c>
      <c r="I23" s="160">
        <v>1130005.5</v>
      </c>
      <c r="J23" s="160">
        <v>1141620.3999999999</v>
      </c>
      <c r="K23" s="160">
        <v>824386</v>
      </c>
      <c r="L23" s="160">
        <f>1971856.8-J23</f>
        <v>830236.40000000014</v>
      </c>
      <c r="M23" s="160">
        <v>666074.1</v>
      </c>
      <c r="N23" s="160">
        <f>2657865.2-L23-J23</f>
        <v>686008.40000000014</v>
      </c>
      <c r="O23" s="160">
        <v>1356176.6</v>
      </c>
      <c r="P23" s="160">
        <f>3909634.7-N23-L23-J23</f>
        <v>1251769.4999999995</v>
      </c>
      <c r="Q23" s="157" t="s">
        <v>504</v>
      </c>
      <c r="R23" s="48"/>
      <c r="S23" s="48"/>
    </row>
    <row r="24" spans="1:19" ht="276.75" customHeight="1" x14ac:dyDescent="0.25">
      <c r="A24" s="300" t="s">
        <v>48</v>
      </c>
      <c r="B24" s="297" t="s">
        <v>223</v>
      </c>
      <c r="C24" s="301"/>
      <c r="D24" s="302" t="s">
        <v>387</v>
      </c>
      <c r="E24" s="308" t="s">
        <v>268</v>
      </c>
      <c r="F24" s="308" t="s">
        <v>269</v>
      </c>
      <c r="G24" s="308" t="s">
        <v>268</v>
      </c>
      <c r="H24" s="299">
        <v>44196</v>
      </c>
      <c r="I24" s="298">
        <v>1286.5</v>
      </c>
      <c r="J24" s="298">
        <v>1286.5</v>
      </c>
      <c r="K24" s="298">
        <v>1290.9000000000001</v>
      </c>
      <c r="L24" s="298">
        <f>2960.8-J24</f>
        <v>1674.3000000000002</v>
      </c>
      <c r="M24" s="298">
        <v>1260.0999999999999</v>
      </c>
      <c r="N24" s="298">
        <f>3837.5-L24-J24</f>
        <v>876.69999999999982</v>
      </c>
      <c r="O24" s="298">
        <v>1815</v>
      </c>
      <c r="P24" s="298">
        <f>5109.1-N24-L24-J24</f>
        <v>1271.6000000000004</v>
      </c>
      <c r="Q24" s="297" t="s">
        <v>454</v>
      </c>
      <c r="R24" s="48"/>
      <c r="S24" s="48"/>
    </row>
    <row r="25" spans="1:19" ht="108" hidden="1" customHeight="1" x14ac:dyDescent="0.25">
      <c r="A25" s="300"/>
      <c r="B25" s="297"/>
      <c r="C25" s="301"/>
      <c r="D25" s="302"/>
      <c r="E25" s="308"/>
      <c r="F25" s="308"/>
      <c r="G25" s="308"/>
      <c r="H25" s="308"/>
      <c r="I25" s="298"/>
      <c r="J25" s="298"/>
      <c r="K25" s="298"/>
      <c r="L25" s="298"/>
      <c r="M25" s="298"/>
      <c r="N25" s="298"/>
      <c r="O25" s="298"/>
      <c r="P25" s="298"/>
      <c r="Q25" s="297"/>
      <c r="R25" s="48"/>
      <c r="S25" s="48"/>
    </row>
    <row r="26" spans="1:19" ht="408.75" customHeight="1" x14ac:dyDescent="0.25">
      <c r="A26" s="109" t="s">
        <v>49</v>
      </c>
      <c r="B26" s="157" t="s">
        <v>300</v>
      </c>
      <c r="C26" s="157"/>
      <c r="D26" s="164" t="s">
        <v>388</v>
      </c>
      <c r="E26" s="159" t="s">
        <v>268</v>
      </c>
      <c r="F26" s="159" t="s">
        <v>269</v>
      </c>
      <c r="G26" s="159" t="s">
        <v>268</v>
      </c>
      <c r="H26" s="158">
        <v>44196</v>
      </c>
      <c r="I26" s="160">
        <v>2817.2</v>
      </c>
      <c r="J26" s="160">
        <v>2826.3</v>
      </c>
      <c r="K26" s="160">
        <v>2828.9</v>
      </c>
      <c r="L26" s="160">
        <f>6352-J26</f>
        <v>3525.7</v>
      </c>
      <c r="M26" s="160">
        <v>2708.1</v>
      </c>
      <c r="N26" s="160">
        <f>8354.2-L26-J26</f>
        <v>2002.2000000000007</v>
      </c>
      <c r="O26" s="160">
        <v>3921.2</v>
      </c>
      <c r="P26" s="160">
        <f>11070.1-N26-L26-J26</f>
        <v>2715.8999999999996</v>
      </c>
      <c r="Q26" s="157" t="s">
        <v>499</v>
      </c>
      <c r="R26" s="65"/>
      <c r="S26" s="65"/>
    </row>
    <row r="27" spans="1:19" ht="330" customHeight="1" x14ac:dyDescent="0.25">
      <c r="A27" s="162" t="s">
        <v>50</v>
      </c>
      <c r="B27" s="157" t="s">
        <v>224</v>
      </c>
      <c r="C27" s="165"/>
      <c r="D27" s="164" t="s">
        <v>389</v>
      </c>
      <c r="E27" s="159" t="s">
        <v>268</v>
      </c>
      <c r="F27" s="159" t="s">
        <v>269</v>
      </c>
      <c r="G27" s="159" t="s">
        <v>268</v>
      </c>
      <c r="H27" s="158">
        <v>44196</v>
      </c>
      <c r="I27" s="160">
        <v>622.70000000000005</v>
      </c>
      <c r="J27" s="160">
        <v>698.7</v>
      </c>
      <c r="K27" s="160">
        <v>933.1</v>
      </c>
      <c r="L27" s="160">
        <f>1560.5-J27</f>
        <v>861.8</v>
      </c>
      <c r="M27" s="160">
        <v>114.4</v>
      </c>
      <c r="N27" s="160">
        <f>1670.2-L27-J27</f>
        <v>109.70000000000005</v>
      </c>
      <c r="O27" s="160">
        <v>770.9</v>
      </c>
      <c r="P27" s="160">
        <f>1831.9-N27-L27-J27</f>
        <v>161.70000000000005</v>
      </c>
      <c r="Q27" s="157" t="s">
        <v>518</v>
      </c>
      <c r="R27" s="48"/>
      <c r="S27" s="48"/>
    </row>
    <row r="28" spans="1:19" ht="310.5" customHeight="1" x14ac:dyDescent="0.25">
      <c r="A28" s="162" t="s">
        <v>53</v>
      </c>
      <c r="B28" s="157" t="s">
        <v>272</v>
      </c>
      <c r="C28" s="165"/>
      <c r="D28" s="164" t="s">
        <v>388</v>
      </c>
      <c r="E28" s="159" t="s">
        <v>268</v>
      </c>
      <c r="F28" s="159" t="s">
        <v>269</v>
      </c>
      <c r="G28" s="159" t="s">
        <v>268</v>
      </c>
      <c r="H28" s="158">
        <v>44196</v>
      </c>
      <c r="I28" s="160">
        <v>21.5</v>
      </c>
      <c r="J28" s="160">
        <v>21.5</v>
      </c>
      <c r="K28" s="160">
        <v>8</v>
      </c>
      <c r="L28" s="160">
        <f>29.5-J28</f>
        <v>8</v>
      </c>
      <c r="M28" s="160">
        <v>10.5</v>
      </c>
      <c r="N28" s="160">
        <f>40-L28-J28</f>
        <v>10.5</v>
      </c>
      <c r="O28" s="160">
        <v>14.7</v>
      </c>
      <c r="P28" s="160">
        <f>49.3-N28-L28-J28</f>
        <v>9.2999999999999972</v>
      </c>
      <c r="Q28" s="157" t="s">
        <v>505</v>
      </c>
      <c r="R28" s="48"/>
      <c r="S28" s="48"/>
    </row>
    <row r="29" spans="1:19" ht="315" customHeight="1" x14ac:dyDescent="0.25">
      <c r="A29" s="162" t="s">
        <v>54</v>
      </c>
      <c r="B29" s="157" t="s">
        <v>355</v>
      </c>
      <c r="C29" s="165"/>
      <c r="D29" s="164" t="s">
        <v>388</v>
      </c>
      <c r="E29" s="159" t="s">
        <v>270</v>
      </c>
      <c r="F29" s="64" t="s">
        <v>269</v>
      </c>
      <c r="G29" s="159" t="s">
        <v>270</v>
      </c>
      <c r="H29" s="158">
        <v>44196</v>
      </c>
      <c r="I29" s="160">
        <v>475.6</v>
      </c>
      <c r="J29" s="160">
        <v>475.6</v>
      </c>
      <c r="K29" s="160">
        <v>89.7</v>
      </c>
      <c r="L29" s="160">
        <f>565.3-J29</f>
        <v>89.699999999999932</v>
      </c>
      <c r="M29" s="160">
        <v>134.4</v>
      </c>
      <c r="N29" s="160">
        <f>722.9-L29-J29</f>
        <v>157.60000000000002</v>
      </c>
      <c r="O29" s="160">
        <v>703</v>
      </c>
      <c r="P29" s="160">
        <f>1185.7-N29-L29-J29</f>
        <v>462.79999999999995</v>
      </c>
      <c r="Q29" s="157" t="s">
        <v>506</v>
      </c>
      <c r="R29" s="48"/>
      <c r="S29" s="48"/>
    </row>
    <row r="30" spans="1:19" ht="387" customHeight="1" x14ac:dyDescent="0.25">
      <c r="A30" s="300" t="s">
        <v>55</v>
      </c>
      <c r="B30" s="297" t="s">
        <v>321</v>
      </c>
      <c r="C30" s="301"/>
      <c r="D30" s="302" t="s">
        <v>388</v>
      </c>
      <c r="E30" s="308" t="s">
        <v>270</v>
      </c>
      <c r="F30" s="308" t="s">
        <v>269</v>
      </c>
      <c r="G30" s="308" t="s">
        <v>270</v>
      </c>
      <c r="H30" s="313">
        <v>44196</v>
      </c>
      <c r="I30" s="298">
        <v>357.6</v>
      </c>
      <c r="J30" s="298">
        <v>357.6</v>
      </c>
      <c r="K30" s="298">
        <v>294.89999999999998</v>
      </c>
      <c r="L30" s="298">
        <f>657.1-J30</f>
        <v>299.5</v>
      </c>
      <c r="M30" s="298">
        <v>375.5</v>
      </c>
      <c r="N30" s="298">
        <f>1028-L30-J30</f>
        <v>370.9</v>
      </c>
      <c r="O30" s="298">
        <v>524</v>
      </c>
      <c r="P30" s="298">
        <f>1396.3-N30-L30-J30</f>
        <v>368.30000000000007</v>
      </c>
      <c r="Q30" s="297" t="s">
        <v>507</v>
      </c>
      <c r="R30" s="48"/>
      <c r="S30" s="48"/>
    </row>
    <row r="31" spans="1:19" ht="100.5" customHeight="1" x14ac:dyDescent="0.25">
      <c r="A31" s="300"/>
      <c r="B31" s="297"/>
      <c r="C31" s="301"/>
      <c r="D31" s="302"/>
      <c r="E31" s="308"/>
      <c r="F31" s="308"/>
      <c r="G31" s="308"/>
      <c r="H31" s="314"/>
      <c r="I31" s="298"/>
      <c r="J31" s="298"/>
      <c r="K31" s="298"/>
      <c r="L31" s="298"/>
      <c r="M31" s="298"/>
      <c r="N31" s="298"/>
      <c r="O31" s="298"/>
      <c r="P31" s="298"/>
      <c r="Q31" s="297"/>
      <c r="R31" s="48"/>
      <c r="S31" s="48"/>
    </row>
    <row r="32" spans="1:19" ht="204" customHeight="1" x14ac:dyDescent="0.25">
      <c r="A32" s="162" t="s">
        <v>56</v>
      </c>
      <c r="B32" s="157" t="s">
        <v>301</v>
      </c>
      <c r="C32" s="165"/>
      <c r="D32" s="164" t="s">
        <v>390</v>
      </c>
      <c r="E32" s="159" t="s">
        <v>268</v>
      </c>
      <c r="F32" s="159" t="s">
        <v>269</v>
      </c>
      <c r="G32" s="159" t="s">
        <v>268</v>
      </c>
      <c r="H32" s="158">
        <v>44196</v>
      </c>
      <c r="I32" s="160">
        <v>8824.9</v>
      </c>
      <c r="J32" s="160">
        <v>9067.2000000000007</v>
      </c>
      <c r="K32" s="160">
        <v>4384.2</v>
      </c>
      <c r="L32" s="160">
        <f>13687.8-J32</f>
        <v>4620.5999999999985</v>
      </c>
      <c r="M32" s="160">
        <v>11735.8</v>
      </c>
      <c r="N32" s="160">
        <f>25756-L32-J32</f>
        <v>12068.2</v>
      </c>
      <c r="O32" s="160">
        <v>13138.4</v>
      </c>
      <c r="P32" s="160">
        <f>37134.2-N32-L32-J32</f>
        <v>11378.199999999997</v>
      </c>
      <c r="Q32" s="135" t="s">
        <v>450</v>
      </c>
      <c r="R32" s="48"/>
      <c r="S32" s="48"/>
    </row>
    <row r="33" spans="1:19" ht="123.75" customHeight="1" x14ac:dyDescent="0.25">
      <c r="A33" s="162" t="s">
        <v>58</v>
      </c>
      <c r="B33" s="157" t="s">
        <v>225</v>
      </c>
      <c r="C33" s="165"/>
      <c r="D33" s="164" t="s">
        <v>388</v>
      </c>
      <c r="E33" s="158">
        <v>44105</v>
      </c>
      <c r="F33" s="159" t="s">
        <v>269</v>
      </c>
      <c r="G33" s="158">
        <v>44105</v>
      </c>
      <c r="H33" s="168">
        <v>44196</v>
      </c>
      <c r="I33" s="160">
        <v>0</v>
      </c>
      <c r="J33" s="160">
        <v>0</v>
      </c>
      <c r="K33" s="160">
        <v>0</v>
      </c>
      <c r="L33" s="160">
        <v>0</v>
      </c>
      <c r="M33" s="160">
        <v>0</v>
      </c>
      <c r="N33" s="160">
        <v>0</v>
      </c>
      <c r="O33" s="160">
        <v>6.9</v>
      </c>
      <c r="P33" s="160">
        <f>0-N33-L33-J33</f>
        <v>0</v>
      </c>
      <c r="Q33" s="157" t="s">
        <v>450</v>
      </c>
      <c r="R33" s="48"/>
      <c r="S33" s="48"/>
    </row>
    <row r="34" spans="1:19" ht="258" customHeight="1" x14ac:dyDescent="0.25">
      <c r="A34" s="162" t="s">
        <v>60</v>
      </c>
      <c r="B34" s="157" t="s">
        <v>226</v>
      </c>
      <c r="C34" s="165"/>
      <c r="D34" s="164" t="s">
        <v>388</v>
      </c>
      <c r="E34" s="158">
        <v>43922</v>
      </c>
      <c r="F34" s="158">
        <v>44196</v>
      </c>
      <c r="G34" s="158">
        <v>43922</v>
      </c>
      <c r="H34" s="158">
        <v>44196</v>
      </c>
      <c r="I34" s="160">
        <v>0</v>
      </c>
      <c r="J34" s="160">
        <v>0</v>
      </c>
      <c r="K34" s="160">
        <v>15</v>
      </c>
      <c r="L34" s="160">
        <v>15</v>
      </c>
      <c r="M34" s="160">
        <v>0</v>
      </c>
      <c r="N34" s="160">
        <v>0</v>
      </c>
      <c r="O34" s="160">
        <v>182.5</v>
      </c>
      <c r="P34" s="160">
        <f>15-N34-L34-J34</f>
        <v>0</v>
      </c>
      <c r="Q34" s="135" t="s">
        <v>519</v>
      </c>
      <c r="R34" s="48"/>
      <c r="S34" s="48"/>
    </row>
    <row r="35" spans="1:19" ht="408.75" customHeight="1" x14ac:dyDescent="0.25">
      <c r="A35" s="162" t="s">
        <v>62</v>
      </c>
      <c r="B35" s="157" t="s">
        <v>356</v>
      </c>
      <c r="C35" s="165"/>
      <c r="D35" s="164" t="s">
        <v>388</v>
      </c>
      <c r="E35" s="158">
        <v>43839</v>
      </c>
      <c r="F35" s="158">
        <v>44196</v>
      </c>
      <c r="G35" s="158">
        <v>43839</v>
      </c>
      <c r="H35" s="158">
        <v>44196</v>
      </c>
      <c r="I35" s="160">
        <v>312419.8</v>
      </c>
      <c r="J35" s="160">
        <v>312501.5</v>
      </c>
      <c r="K35" s="160">
        <v>1651.2</v>
      </c>
      <c r="L35" s="160">
        <f>314085.5-J35</f>
        <v>1584</v>
      </c>
      <c r="M35" s="160">
        <v>1917.4</v>
      </c>
      <c r="N35" s="160">
        <f>315944.4-L35-J35</f>
        <v>1858.9000000000233</v>
      </c>
      <c r="O35" s="160">
        <v>9333.2000000000007</v>
      </c>
      <c r="P35" s="160">
        <f>318960.3-N35-L35-J35</f>
        <v>3015.8999999999651</v>
      </c>
      <c r="Q35" s="136" t="s">
        <v>455</v>
      </c>
      <c r="R35" s="48"/>
      <c r="S35" s="48"/>
    </row>
    <row r="36" spans="1:19" ht="252" customHeight="1" x14ac:dyDescent="0.25">
      <c r="A36" s="300" t="s">
        <v>63</v>
      </c>
      <c r="B36" s="297" t="s">
        <v>357</v>
      </c>
      <c r="C36" s="301"/>
      <c r="D36" s="302" t="s">
        <v>388</v>
      </c>
      <c r="E36" s="299">
        <v>43839</v>
      </c>
      <c r="F36" s="299">
        <v>44196</v>
      </c>
      <c r="G36" s="299">
        <v>43839</v>
      </c>
      <c r="H36" s="299">
        <v>44196</v>
      </c>
      <c r="I36" s="298">
        <v>24468.6</v>
      </c>
      <c r="J36" s="298">
        <v>24468.6</v>
      </c>
      <c r="K36" s="298">
        <v>24118.799999999999</v>
      </c>
      <c r="L36" s="298">
        <f>56028.3-J36</f>
        <v>31559.700000000004</v>
      </c>
      <c r="M36" s="298">
        <v>23846.799999999999</v>
      </c>
      <c r="N36" s="298">
        <f>72434.3-L36-J36</f>
        <v>16406</v>
      </c>
      <c r="O36" s="298">
        <v>25250.6</v>
      </c>
      <c r="P36" s="298">
        <f>96389.5-N36-L36-J36</f>
        <v>23955.199999999997</v>
      </c>
      <c r="Q36" s="297" t="s">
        <v>455</v>
      </c>
      <c r="R36" s="48"/>
      <c r="S36" s="48"/>
    </row>
    <row r="37" spans="1:19" ht="102.75" customHeight="1" x14ac:dyDescent="0.25">
      <c r="A37" s="300"/>
      <c r="B37" s="297"/>
      <c r="C37" s="301"/>
      <c r="D37" s="302"/>
      <c r="E37" s="308"/>
      <c r="F37" s="308"/>
      <c r="G37" s="299"/>
      <c r="H37" s="308"/>
      <c r="I37" s="298"/>
      <c r="J37" s="298"/>
      <c r="K37" s="298"/>
      <c r="L37" s="298"/>
      <c r="M37" s="298"/>
      <c r="N37" s="298"/>
      <c r="O37" s="298">
        <v>0</v>
      </c>
      <c r="P37" s="298"/>
      <c r="Q37" s="297"/>
      <c r="R37" s="48"/>
      <c r="S37" s="48"/>
    </row>
    <row r="38" spans="1:19" ht="339" customHeight="1" x14ac:dyDescent="0.25">
      <c r="A38" s="162" t="s">
        <v>64</v>
      </c>
      <c r="B38" s="157" t="s">
        <v>358</v>
      </c>
      <c r="C38" s="165"/>
      <c r="D38" s="164" t="s">
        <v>391</v>
      </c>
      <c r="E38" s="158">
        <v>43839</v>
      </c>
      <c r="F38" s="158">
        <v>44196</v>
      </c>
      <c r="G38" s="158">
        <v>43839</v>
      </c>
      <c r="H38" s="167">
        <v>44196</v>
      </c>
      <c r="I38" s="160">
        <v>80.099999999999994</v>
      </c>
      <c r="J38" s="160">
        <v>80.099999999999994</v>
      </c>
      <c r="K38" s="160">
        <v>87.5</v>
      </c>
      <c r="L38" s="160">
        <f>167.6-J38</f>
        <v>87.5</v>
      </c>
      <c r="M38" s="160">
        <v>56.4</v>
      </c>
      <c r="N38" s="160">
        <f>224.4-L38-J38</f>
        <v>56.800000000000011</v>
      </c>
      <c r="O38" s="160">
        <v>1256.5999999999999</v>
      </c>
      <c r="P38" s="160">
        <f>1355.9-N38-L38-J38</f>
        <v>1131.5000000000002</v>
      </c>
      <c r="Q38" s="157" t="s">
        <v>446</v>
      </c>
      <c r="R38" s="48"/>
      <c r="S38" s="48"/>
    </row>
    <row r="39" spans="1:19" ht="365.25" customHeight="1" x14ac:dyDescent="0.25">
      <c r="A39" s="162" t="s">
        <v>65</v>
      </c>
      <c r="B39" s="157" t="s">
        <v>302</v>
      </c>
      <c r="C39" s="165"/>
      <c r="D39" s="164" t="s">
        <v>388</v>
      </c>
      <c r="E39" s="158">
        <v>43839</v>
      </c>
      <c r="F39" s="158">
        <v>44196</v>
      </c>
      <c r="G39" s="158">
        <v>43839</v>
      </c>
      <c r="H39" s="167">
        <v>44196</v>
      </c>
      <c r="I39" s="160">
        <v>4381</v>
      </c>
      <c r="J39" s="160">
        <v>4381</v>
      </c>
      <c r="K39" s="160">
        <v>4380.6000000000004</v>
      </c>
      <c r="L39" s="160">
        <f>9188.3-J39</f>
        <v>4807.2999999999993</v>
      </c>
      <c r="M39" s="160">
        <v>4259.7</v>
      </c>
      <c r="N39" s="160">
        <f>13021.3-L39-J39</f>
        <v>3833</v>
      </c>
      <c r="O39" s="160">
        <v>4517.8999999999996</v>
      </c>
      <c r="P39" s="160">
        <f>17158.7-N39-L39-J39</f>
        <v>4137.4000000000015</v>
      </c>
      <c r="Q39" s="136" t="s">
        <v>508</v>
      </c>
      <c r="R39" s="48"/>
      <c r="S39" s="48"/>
    </row>
    <row r="40" spans="1:19" ht="287.25" customHeight="1" x14ac:dyDescent="0.25">
      <c r="A40" s="162" t="s">
        <v>66</v>
      </c>
      <c r="B40" s="157" t="s">
        <v>303</v>
      </c>
      <c r="C40" s="165"/>
      <c r="D40" s="164" t="s">
        <v>392</v>
      </c>
      <c r="E40" s="159" t="s">
        <v>271</v>
      </c>
      <c r="F40" s="159" t="s">
        <v>269</v>
      </c>
      <c r="G40" s="158">
        <v>43839</v>
      </c>
      <c r="H40" s="167">
        <v>44196</v>
      </c>
      <c r="I40" s="160">
        <v>27.6</v>
      </c>
      <c r="J40" s="160">
        <v>27.6</v>
      </c>
      <c r="K40" s="160">
        <v>86.8</v>
      </c>
      <c r="L40" s="160">
        <f>125.6-J40</f>
        <v>98</v>
      </c>
      <c r="M40" s="160">
        <v>23.4</v>
      </c>
      <c r="N40" s="160">
        <f>137.8-L40-J40</f>
        <v>12.20000000000001</v>
      </c>
      <c r="O40" s="160">
        <v>71.8</v>
      </c>
      <c r="P40" s="160">
        <f>188-N40-L40-J40</f>
        <v>50.199999999999982</v>
      </c>
      <c r="Q40" s="136" t="s">
        <v>510</v>
      </c>
      <c r="R40" s="48"/>
      <c r="S40" s="48"/>
    </row>
    <row r="41" spans="1:19" ht="336" customHeight="1" x14ac:dyDescent="0.25">
      <c r="A41" s="162" t="s">
        <v>67</v>
      </c>
      <c r="B41" s="157" t="s">
        <v>227</v>
      </c>
      <c r="C41" s="165"/>
      <c r="D41" s="164" t="s">
        <v>389</v>
      </c>
      <c r="E41" s="158">
        <v>43839</v>
      </c>
      <c r="F41" s="158">
        <v>44196</v>
      </c>
      <c r="G41" s="158">
        <v>43839</v>
      </c>
      <c r="H41" s="167">
        <v>44196</v>
      </c>
      <c r="I41" s="160">
        <v>11785</v>
      </c>
      <c r="J41" s="160">
        <v>11785</v>
      </c>
      <c r="K41" s="160">
        <v>11179.3</v>
      </c>
      <c r="L41" s="160">
        <f>25876.6-J41</f>
        <v>14091.599999999999</v>
      </c>
      <c r="M41" s="160">
        <v>11978</v>
      </c>
      <c r="N41" s="160">
        <f>34942.3-L41-J41</f>
        <v>9065.7000000000044</v>
      </c>
      <c r="O41" s="160">
        <v>12036.2</v>
      </c>
      <c r="P41" s="160">
        <f>46065.8-N41-L41-J41</f>
        <v>11123.5</v>
      </c>
      <c r="Q41" s="157" t="s">
        <v>511</v>
      </c>
      <c r="R41" s="48"/>
      <c r="S41" s="48"/>
    </row>
    <row r="42" spans="1:19" ht="18.75" customHeight="1" x14ac:dyDescent="0.25">
      <c r="A42" s="300" t="s">
        <v>68</v>
      </c>
      <c r="B42" s="297" t="s">
        <v>359</v>
      </c>
      <c r="C42" s="297"/>
      <c r="D42" s="297" t="s">
        <v>393</v>
      </c>
      <c r="E42" s="299">
        <v>43839</v>
      </c>
      <c r="F42" s="299">
        <v>44196</v>
      </c>
      <c r="G42" s="299">
        <v>43839</v>
      </c>
      <c r="H42" s="171">
        <v>44196</v>
      </c>
      <c r="I42" s="298">
        <v>382153.7</v>
      </c>
      <c r="J42" s="298">
        <v>385639.6</v>
      </c>
      <c r="K42" s="298">
        <v>238002.5</v>
      </c>
      <c r="L42" s="298">
        <f>620260-J42</f>
        <v>234620.40000000002</v>
      </c>
      <c r="M42" s="298">
        <v>308371.3</v>
      </c>
      <c r="N42" s="298">
        <f>930470.3-L42-J42</f>
        <v>310210.30000000005</v>
      </c>
      <c r="O42" s="298">
        <v>398237.2</v>
      </c>
      <c r="P42" s="298">
        <f>1282761.5-N42-L42-J42</f>
        <v>352291.19999999995</v>
      </c>
      <c r="Q42" s="322" t="s">
        <v>446</v>
      </c>
      <c r="R42" s="48"/>
      <c r="S42" s="48"/>
    </row>
    <row r="43" spans="1:19" ht="408.75" customHeight="1" x14ac:dyDescent="0.25">
      <c r="A43" s="300"/>
      <c r="B43" s="297"/>
      <c r="C43" s="297"/>
      <c r="D43" s="297"/>
      <c r="E43" s="299"/>
      <c r="F43" s="299"/>
      <c r="G43" s="299"/>
      <c r="H43" s="171"/>
      <c r="I43" s="298"/>
      <c r="J43" s="298"/>
      <c r="K43" s="298"/>
      <c r="L43" s="298"/>
      <c r="M43" s="298"/>
      <c r="N43" s="298"/>
      <c r="O43" s="298"/>
      <c r="P43" s="298"/>
      <c r="Q43" s="323"/>
      <c r="R43" s="48"/>
      <c r="S43" s="48"/>
    </row>
    <row r="44" spans="1:19" ht="409.5" customHeight="1" x14ac:dyDescent="0.25">
      <c r="A44" s="300"/>
      <c r="B44" s="297"/>
      <c r="C44" s="297"/>
      <c r="D44" s="297"/>
      <c r="E44" s="299"/>
      <c r="F44" s="299"/>
      <c r="G44" s="299"/>
      <c r="H44" s="171"/>
      <c r="I44" s="298"/>
      <c r="J44" s="298"/>
      <c r="K44" s="298"/>
      <c r="L44" s="298"/>
      <c r="M44" s="298"/>
      <c r="N44" s="298"/>
      <c r="O44" s="298"/>
      <c r="P44" s="298"/>
      <c r="Q44" s="135"/>
      <c r="R44" s="48"/>
      <c r="S44" s="48"/>
    </row>
    <row r="45" spans="1:19" ht="390.75" customHeight="1" x14ac:dyDescent="0.25">
      <c r="A45" s="162" t="s">
        <v>70</v>
      </c>
      <c r="B45" s="157" t="s">
        <v>360</v>
      </c>
      <c r="C45" s="165"/>
      <c r="D45" s="164" t="s">
        <v>394</v>
      </c>
      <c r="E45" s="158">
        <v>43839</v>
      </c>
      <c r="F45" s="158">
        <v>44196</v>
      </c>
      <c r="G45" s="158">
        <v>43839</v>
      </c>
      <c r="H45" s="158">
        <v>44196</v>
      </c>
      <c r="I45" s="160">
        <v>1322.3</v>
      </c>
      <c r="J45" s="160">
        <v>1322.3</v>
      </c>
      <c r="K45" s="160">
        <v>601.29999999999995</v>
      </c>
      <c r="L45" s="160">
        <f>1923.6-J45</f>
        <v>601.29999999999995</v>
      </c>
      <c r="M45" s="160">
        <v>1181.9000000000001</v>
      </c>
      <c r="N45" s="160">
        <f>3105.5-L45-J45</f>
        <v>1181.8999999999999</v>
      </c>
      <c r="O45" s="160">
        <v>9801.5</v>
      </c>
      <c r="P45" s="160">
        <f>12906.9-N45-L45-J45</f>
        <v>9801.4000000000015</v>
      </c>
      <c r="Q45" s="135" t="s">
        <v>451</v>
      </c>
      <c r="R45" s="48"/>
      <c r="S45" s="48"/>
    </row>
    <row r="46" spans="1:19" ht="376.5" customHeight="1" x14ac:dyDescent="0.25">
      <c r="A46" s="162" t="s">
        <v>324</v>
      </c>
      <c r="B46" s="157" t="s">
        <v>323</v>
      </c>
      <c r="C46" s="165"/>
      <c r="D46" s="164" t="s">
        <v>388</v>
      </c>
      <c r="E46" s="158">
        <v>43839</v>
      </c>
      <c r="F46" s="158">
        <v>44196</v>
      </c>
      <c r="G46" s="158">
        <v>43839</v>
      </c>
      <c r="H46" s="167">
        <v>44196</v>
      </c>
      <c r="I46" s="160">
        <v>193901.3</v>
      </c>
      <c r="J46" s="160">
        <v>194768.2</v>
      </c>
      <c r="K46" s="160">
        <v>125369.7</v>
      </c>
      <c r="L46" s="160">
        <f>320177.9-J46</f>
        <v>125409.70000000001</v>
      </c>
      <c r="M46" s="160">
        <v>219990.1</v>
      </c>
      <c r="N46" s="160">
        <f>540622.7-L46-J46</f>
        <v>220444.79999999993</v>
      </c>
      <c r="O46" s="160">
        <v>243075.3</v>
      </c>
      <c r="P46" s="160">
        <f>752638.6-N46-L46-J46</f>
        <v>212015.90000000002</v>
      </c>
      <c r="Q46" s="136" t="s">
        <v>512</v>
      </c>
      <c r="R46" s="48"/>
      <c r="S46" s="48"/>
    </row>
    <row r="47" spans="1:19" ht="271.5" customHeight="1" x14ac:dyDescent="0.25">
      <c r="A47" s="162" t="s">
        <v>514</v>
      </c>
      <c r="B47" s="157" t="s">
        <v>372</v>
      </c>
      <c r="C47" s="165"/>
      <c r="D47" s="164" t="s">
        <v>388</v>
      </c>
      <c r="E47" s="158">
        <v>43839</v>
      </c>
      <c r="F47" s="158">
        <v>44013</v>
      </c>
      <c r="G47" s="158">
        <v>43839</v>
      </c>
      <c r="H47" s="167">
        <v>44196</v>
      </c>
      <c r="I47" s="160">
        <v>136.5</v>
      </c>
      <c r="J47" s="160">
        <v>136.5</v>
      </c>
      <c r="K47" s="160">
        <v>1</v>
      </c>
      <c r="L47" s="160">
        <f>137.5-J47</f>
        <v>1</v>
      </c>
      <c r="M47" s="160">
        <v>0</v>
      </c>
      <c r="N47" s="160">
        <v>0</v>
      </c>
      <c r="O47" s="160">
        <v>0.1</v>
      </c>
      <c r="P47" s="160">
        <v>0</v>
      </c>
      <c r="Q47" s="133" t="s">
        <v>513</v>
      </c>
      <c r="R47" s="48"/>
      <c r="S47" s="48"/>
    </row>
    <row r="48" spans="1:19" ht="275.25" customHeight="1" x14ac:dyDescent="0.25">
      <c r="A48" s="162" t="s">
        <v>278</v>
      </c>
      <c r="B48" s="157" t="s">
        <v>298</v>
      </c>
      <c r="C48" s="165"/>
      <c r="D48" s="164" t="s">
        <v>395</v>
      </c>
      <c r="E48" s="158">
        <v>43922</v>
      </c>
      <c r="F48" s="158">
        <v>44196</v>
      </c>
      <c r="G48" s="158">
        <v>43922</v>
      </c>
      <c r="H48" s="158"/>
      <c r="I48" s="160">
        <v>0</v>
      </c>
      <c r="J48" s="160">
        <v>0</v>
      </c>
      <c r="K48" s="160">
        <v>11973.3</v>
      </c>
      <c r="L48" s="160">
        <v>11973.3</v>
      </c>
      <c r="M48" s="160">
        <v>0</v>
      </c>
      <c r="N48" s="160">
        <v>0</v>
      </c>
      <c r="O48" s="160">
        <v>66613.399999999994</v>
      </c>
      <c r="P48" s="160">
        <f>68475.5-N48-L48-J48</f>
        <v>56502.2</v>
      </c>
      <c r="Q48" s="157" t="s">
        <v>515</v>
      </c>
      <c r="R48" s="48"/>
      <c r="S48" s="48"/>
    </row>
    <row r="49" spans="1:19" ht="260.25" customHeight="1" x14ac:dyDescent="0.25">
      <c r="A49" s="162" t="s">
        <v>73</v>
      </c>
      <c r="B49" s="157" t="s">
        <v>362</v>
      </c>
      <c r="C49" s="165"/>
      <c r="D49" s="164" t="s">
        <v>396</v>
      </c>
      <c r="E49" s="159" t="s">
        <v>273</v>
      </c>
      <c r="F49" s="158">
        <v>44012</v>
      </c>
      <c r="G49" s="159" t="s">
        <v>273</v>
      </c>
      <c r="H49" s="158">
        <v>44012</v>
      </c>
      <c r="I49" s="160">
        <v>0</v>
      </c>
      <c r="J49" s="160">
        <v>0</v>
      </c>
      <c r="K49" s="160">
        <v>56931.7</v>
      </c>
      <c r="L49" s="160">
        <v>56931.7</v>
      </c>
      <c r="M49" s="160">
        <v>0</v>
      </c>
      <c r="N49" s="160">
        <v>0</v>
      </c>
      <c r="O49" s="160">
        <v>0</v>
      </c>
      <c r="P49" s="160">
        <f>56931.7-N49-L49-J49</f>
        <v>0</v>
      </c>
      <c r="Q49" s="157"/>
      <c r="R49" s="48"/>
      <c r="S49" s="48"/>
    </row>
    <row r="50" spans="1:19" ht="278.25" customHeight="1" x14ac:dyDescent="0.25">
      <c r="A50" s="162" t="s">
        <v>74</v>
      </c>
      <c r="B50" s="157" t="s">
        <v>361</v>
      </c>
      <c r="C50" s="165"/>
      <c r="D50" s="164" t="s">
        <v>396</v>
      </c>
      <c r="E50" s="159" t="s">
        <v>273</v>
      </c>
      <c r="F50" s="158">
        <v>44012</v>
      </c>
      <c r="G50" s="159" t="s">
        <v>273</v>
      </c>
      <c r="H50" s="158">
        <v>44012</v>
      </c>
      <c r="I50" s="160">
        <v>0</v>
      </c>
      <c r="J50" s="160">
        <v>0</v>
      </c>
      <c r="K50" s="160">
        <v>36757</v>
      </c>
      <c r="L50" s="160">
        <v>36757</v>
      </c>
      <c r="M50" s="160">
        <v>0</v>
      </c>
      <c r="N50" s="160">
        <v>0</v>
      </c>
      <c r="O50" s="160">
        <v>0</v>
      </c>
      <c r="P50" s="160">
        <f>36757-N50-L50-J50</f>
        <v>0</v>
      </c>
      <c r="Q50" s="157"/>
      <c r="R50" s="48"/>
      <c r="S50" s="48"/>
    </row>
    <row r="51" spans="1:19" ht="393.75" x14ac:dyDescent="0.25">
      <c r="A51" s="162" t="s">
        <v>262</v>
      </c>
      <c r="B51" s="157" t="s">
        <v>304</v>
      </c>
      <c r="C51" s="165"/>
      <c r="D51" s="164" t="s">
        <v>397</v>
      </c>
      <c r="E51" s="158">
        <v>43839</v>
      </c>
      <c r="F51" s="158">
        <v>44196</v>
      </c>
      <c r="G51" s="158">
        <v>43839</v>
      </c>
      <c r="H51" s="167">
        <v>44196</v>
      </c>
      <c r="I51" s="160">
        <v>194419.5</v>
      </c>
      <c r="J51" s="160">
        <v>195958</v>
      </c>
      <c r="K51" s="160">
        <v>103411.4</v>
      </c>
      <c r="L51" s="160">
        <f>298181.5-J51</f>
        <v>102223.5</v>
      </c>
      <c r="M51" s="160">
        <v>29793.4</v>
      </c>
      <c r="N51" s="160">
        <f>327736-L51-J51</f>
        <v>29554.5</v>
      </c>
      <c r="O51" s="160">
        <v>52342.8</v>
      </c>
      <c r="P51" s="160">
        <f>339335.2-N51-L51-J51</f>
        <v>11599.200000000012</v>
      </c>
      <c r="Q51" s="134" t="s">
        <v>516</v>
      </c>
      <c r="R51" s="48"/>
      <c r="S51" s="48"/>
    </row>
    <row r="52" spans="1:19" ht="186" customHeight="1" x14ac:dyDescent="0.25">
      <c r="A52" s="162"/>
      <c r="B52" s="157" t="s">
        <v>305</v>
      </c>
      <c r="C52" s="165" t="s">
        <v>23</v>
      </c>
      <c r="D52" s="164" t="s">
        <v>299</v>
      </c>
      <c r="E52" s="159" t="s">
        <v>23</v>
      </c>
      <c r="F52" s="158">
        <v>44196</v>
      </c>
      <c r="G52" s="159" t="s">
        <v>23</v>
      </c>
      <c r="H52" s="167">
        <v>44196</v>
      </c>
      <c r="I52" s="160" t="s">
        <v>23</v>
      </c>
      <c r="J52" s="160" t="s">
        <v>23</v>
      </c>
      <c r="K52" s="160" t="s">
        <v>23</v>
      </c>
      <c r="L52" s="160" t="s">
        <v>23</v>
      </c>
      <c r="M52" s="160" t="s">
        <v>23</v>
      </c>
      <c r="N52" s="160" t="s">
        <v>23</v>
      </c>
      <c r="O52" s="160" t="s">
        <v>23</v>
      </c>
      <c r="P52" s="160" t="s">
        <v>23</v>
      </c>
      <c r="Q52" s="163"/>
      <c r="R52" s="57"/>
      <c r="S52" s="57"/>
    </row>
    <row r="53" spans="1:19" ht="236.25" customHeight="1" x14ac:dyDescent="0.25">
      <c r="A53" s="162"/>
      <c r="B53" s="157" t="s">
        <v>228</v>
      </c>
      <c r="C53" s="165" t="s">
        <v>23</v>
      </c>
      <c r="D53" s="164" t="s">
        <v>398</v>
      </c>
      <c r="E53" s="159" t="s">
        <v>23</v>
      </c>
      <c r="F53" s="158">
        <v>44196</v>
      </c>
      <c r="G53" s="159" t="s">
        <v>23</v>
      </c>
      <c r="H53" s="167">
        <v>44196</v>
      </c>
      <c r="I53" s="160" t="s">
        <v>23</v>
      </c>
      <c r="J53" s="160" t="s">
        <v>23</v>
      </c>
      <c r="K53" s="160" t="s">
        <v>23</v>
      </c>
      <c r="L53" s="160" t="s">
        <v>23</v>
      </c>
      <c r="M53" s="160" t="s">
        <v>23</v>
      </c>
      <c r="N53" s="160" t="s">
        <v>23</v>
      </c>
      <c r="O53" s="160" t="s">
        <v>23</v>
      </c>
      <c r="P53" s="160" t="s">
        <v>23</v>
      </c>
      <c r="Q53" s="163"/>
      <c r="R53" s="48"/>
      <c r="S53" s="48"/>
    </row>
    <row r="54" spans="1:19" ht="20.25" x14ac:dyDescent="0.25">
      <c r="A54" s="66" t="s">
        <v>76</v>
      </c>
      <c r="B54" s="309" t="s">
        <v>229</v>
      </c>
      <c r="C54" s="309"/>
      <c r="D54" s="309"/>
      <c r="E54" s="309"/>
      <c r="F54" s="309"/>
      <c r="G54" s="309"/>
      <c r="H54" s="309"/>
      <c r="I54" s="91">
        <f t="shared" ref="I54:N54" si="2">I55+I58+I64+I65+I67+I68+I69+I66+I71+I70</f>
        <v>2208059.1</v>
      </c>
      <c r="J54" s="91">
        <f t="shared" si="2"/>
        <v>2208624</v>
      </c>
      <c r="K54" s="91">
        <f t="shared" si="2"/>
        <v>3103795.4</v>
      </c>
      <c r="L54" s="91">
        <f t="shared" si="2"/>
        <v>3805917.8999999994</v>
      </c>
      <c r="M54" s="91">
        <f t="shared" si="2"/>
        <v>3242443.5</v>
      </c>
      <c r="N54" s="91">
        <f t="shared" si="2"/>
        <v>2542540.2999999998</v>
      </c>
      <c r="O54" s="91">
        <f>O55+O58+O64+O65+O67+O68+O69+O66+O71+O70</f>
        <v>2969956</v>
      </c>
      <c r="P54" s="91">
        <f>P55+P58+P64+P65+P66+P67+P68+P69+P70+P71</f>
        <v>2944528.7000000011</v>
      </c>
      <c r="Q54" s="163"/>
      <c r="R54" s="48"/>
      <c r="S54" s="48"/>
    </row>
    <row r="55" spans="1:19" ht="408.75" customHeight="1" x14ac:dyDescent="0.25">
      <c r="A55" s="162" t="s">
        <v>78</v>
      </c>
      <c r="B55" s="157" t="s">
        <v>79</v>
      </c>
      <c r="C55" s="165"/>
      <c r="D55" s="164" t="s">
        <v>399</v>
      </c>
      <c r="E55" s="158">
        <v>43839</v>
      </c>
      <c r="F55" s="158">
        <v>44196</v>
      </c>
      <c r="G55" s="158">
        <v>43839</v>
      </c>
      <c r="H55" s="167">
        <v>44196</v>
      </c>
      <c r="I55" s="160">
        <v>3136.7</v>
      </c>
      <c r="J55" s="160">
        <f>J56+J57</f>
        <v>3136.6000000000004</v>
      </c>
      <c r="K55" s="160">
        <v>4967</v>
      </c>
      <c r="L55" s="160">
        <f>L56+L57</f>
        <v>4994.2999999999993</v>
      </c>
      <c r="M55" s="160">
        <f>M56+M57</f>
        <v>6288.2000000000007</v>
      </c>
      <c r="N55" s="160">
        <f t="shared" ref="N55:O55" si="3">N56+N57</f>
        <v>6307.4000000000015</v>
      </c>
      <c r="O55" s="160">
        <f t="shared" si="3"/>
        <v>7013.7</v>
      </c>
      <c r="P55" s="160">
        <f>P56+P57</f>
        <v>3792.8999999999978</v>
      </c>
      <c r="Q55" s="200" t="s">
        <v>517</v>
      </c>
      <c r="R55" s="48"/>
      <c r="S55" s="48"/>
    </row>
    <row r="56" spans="1:19" ht="84" customHeight="1" x14ac:dyDescent="0.25">
      <c r="A56" s="162" t="s">
        <v>25</v>
      </c>
      <c r="B56" s="157" t="s">
        <v>80</v>
      </c>
      <c r="C56" s="165"/>
      <c r="D56" s="164" t="s">
        <v>23</v>
      </c>
      <c r="E56" s="158">
        <v>43839</v>
      </c>
      <c r="F56" s="158">
        <v>44196</v>
      </c>
      <c r="G56" s="158">
        <v>43839</v>
      </c>
      <c r="H56" s="167">
        <v>44196</v>
      </c>
      <c r="I56" s="160">
        <v>1277.8</v>
      </c>
      <c r="J56" s="160">
        <v>1277.7</v>
      </c>
      <c r="K56" s="160">
        <v>2055.1</v>
      </c>
      <c r="L56" s="160">
        <f>3360-J56</f>
        <v>2082.3000000000002</v>
      </c>
      <c r="M56" s="160">
        <v>2868.3</v>
      </c>
      <c r="N56" s="160">
        <f>6247.6-L56-J56</f>
        <v>2887.6000000000004</v>
      </c>
      <c r="O56" s="160">
        <v>3962.1</v>
      </c>
      <c r="P56" s="160">
        <f>8587.4-N56-L56-J56</f>
        <v>2339.7999999999993</v>
      </c>
      <c r="Q56" s="157" t="s">
        <v>558</v>
      </c>
      <c r="R56" s="48"/>
      <c r="S56" s="48"/>
    </row>
    <row r="57" spans="1:19" ht="81.75" customHeight="1" x14ac:dyDescent="0.25">
      <c r="A57" s="162" t="s">
        <v>81</v>
      </c>
      <c r="B57" s="157" t="s">
        <v>82</v>
      </c>
      <c r="C57" s="165"/>
      <c r="D57" s="164" t="s">
        <v>23</v>
      </c>
      <c r="E57" s="158">
        <v>43839</v>
      </c>
      <c r="F57" s="158">
        <v>44196</v>
      </c>
      <c r="G57" s="158">
        <v>43839</v>
      </c>
      <c r="H57" s="167">
        <v>44196</v>
      </c>
      <c r="I57" s="160">
        <v>1858.9</v>
      </c>
      <c r="J57" s="160">
        <v>1858.9</v>
      </c>
      <c r="K57" s="160">
        <v>2911.9</v>
      </c>
      <c r="L57" s="160">
        <f>4770.9-J57</f>
        <v>2911.9999999999995</v>
      </c>
      <c r="M57" s="160">
        <v>3419.9</v>
      </c>
      <c r="N57" s="160">
        <f>8190.7-L57-J57</f>
        <v>3419.8000000000006</v>
      </c>
      <c r="O57" s="160">
        <v>3051.6</v>
      </c>
      <c r="P57" s="160">
        <f>9643.8-N57-L57-J57</f>
        <v>1453.0999999999985</v>
      </c>
      <c r="Q57" s="157"/>
      <c r="R57" s="48"/>
      <c r="S57" s="48"/>
    </row>
    <row r="58" spans="1:19" ht="185.25" customHeight="1" x14ac:dyDescent="0.25">
      <c r="A58" s="162" t="s">
        <v>83</v>
      </c>
      <c r="B58" s="157" t="s">
        <v>230</v>
      </c>
      <c r="C58" s="165"/>
      <c r="D58" s="164" t="s">
        <v>400</v>
      </c>
      <c r="E58" s="158">
        <v>43839</v>
      </c>
      <c r="F58" s="158">
        <v>44196</v>
      </c>
      <c r="G58" s="158">
        <v>43839</v>
      </c>
      <c r="H58" s="167">
        <v>44196</v>
      </c>
      <c r="I58" s="160">
        <v>2200828.2999999998</v>
      </c>
      <c r="J58" s="160">
        <v>2201393.2999999998</v>
      </c>
      <c r="K58" s="160">
        <v>3087122.4</v>
      </c>
      <c r="L58" s="160">
        <f>L59+L60</f>
        <v>3789217.5999999996</v>
      </c>
      <c r="M58" s="160">
        <v>3227906.1</v>
      </c>
      <c r="N58" s="160">
        <f>N59+N60</f>
        <v>2527983.7000000002</v>
      </c>
      <c r="O58" s="160">
        <v>2945669.3</v>
      </c>
      <c r="P58" s="160">
        <f>P59+P60</f>
        <v>2936630.4000000013</v>
      </c>
      <c r="Q58" s="157"/>
      <c r="R58" s="48"/>
      <c r="S58" s="48"/>
    </row>
    <row r="59" spans="1:19" ht="86.25" customHeight="1" x14ac:dyDescent="0.25">
      <c r="A59" s="162" t="s">
        <v>85</v>
      </c>
      <c r="B59" s="157" t="s">
        <v>86</v>
      </c>
      <c r="C59" s="165"/>
      <c r="D59" s="164" t="s">
        <v>23</v>
      </c>
      <c r="E59" s="158">
        <v>43839</v>
      </c>
      <c r="F59" s="158">
        <v>44196</v>
      </c>
      <c r="G59" s="158">
        <v>43839</v>
      </c>
      <c r="H59" s="167">
        <v>44196</v>
      </c>
      <c r="I59" s="160">
        <v>136090.4</v>
      </c>
      <c r="J59" s="160">
        <v>136655.4</v>
      </c>
      <c r="K59" s="160">
        <v>182213.8</v>
      </c>
      <c r="L59" s="160">
        <f>320964.5-J59</f>
        <v>184309.1</v>
      </c>
      <c r="M59" s="160">
        <v>200961.3</v>
      </c>
      <c r="N59" s="160">
        <f>522003.2-L59-J59</f>
        <v>201038.69999999998</v>
      </c>
      <c r="O59" s="160">
        <v>284371</v>
      </c>
      <c r="P59" s="160">
        <f>799181.1-N59-L59-J59</f>
        <v>277177.90000000002</v>
      </c>
      <c r="Q59" s="157"/>
      <c r="R59" s="48"/>
      <c r="S59" s="48"/>
    </row>
    <row r="60" spans="1:19" ht="79.5" customHeight="1" x14ac:dyDescent="0.25">
      <c r="A60" s="162" t="s">
        <v>88</v>
      </c>
      <c r="B60" s="157" t="s">
        <v>89</v>
      </c>
      <c r="C60" s="165"/>
      <c r="D60" s="164" t="s">
        <v>23</v>
      </c>
      <c r="E60" s="158">
        <v>43839</v>
      </c>
      <c r="F60" s="158">
        <v>44196</v>
      </c>
      <c r="G60" s="158">
        <v>43839</v>
      </c>
      <c r="H60" s="167">
        <v>44196</v>
      </c>
      <c r="I60" s="160">
        <v>2064737.9</v>
      </c>
      <c r="J60" s="160">
        <v>2064737.9</v>
      </c>
      <c r="K60" s="160">
        <v>2904908.6</v>
      </c>
      <c r="L60" s="160">
        <f>L62+L63+L61</f>
        <v>3604908.4999999995</v>
      </c>
      <c r="M60" s="160">
        <v>3026944.8</v>
      </c>
      <c r="N60" s="160">
        <f>N61+N62+N63</f>
        <v>2326945</v>
      </c>
      <c r="O60" s="160">
        <v>2661298.2999999998</v>
      </c>
      <c r="P60" s="160">
        <f>P61+P62+P63</f>
        <v>2659452.5000000014</v>
      </c>
      <c r="Q60" s="157"/>
      <c r="R60" s="48"/>
      <c r="S60" s="48"/>
    </row>
    <row r="61" spans="1:19" ht="56.25" x14ac:dyDescent="0.25">
      <c r="A61" s="68" t="s">
        <v>90</v>
      </c>
      <c r="B61" s="157" t="s">
        <v>91</v>
      </c>
      <c r="C61" s="165"/>
      <c r="D61" s="164" t="s">
        <v>23</v>
      </c>
      <c r="E61" s="158">
        <v>43839</v>
      </c>
      <c r="F61" s="158">
        <v>44196</v>
      </c>
      <c r="G61" s="158">
        <v>43839</v>
      </c>
      <c r="H61" s="167">
        <v>44196</v>
      </c>
      <c r="I61" s="160">
        <v>2052863.7</v>
      </c>
      <c r="J61" s="160">
        <v>2052863.7</v>
      </c>
      <c r="K61" s="160">
        <v>2894299</v>
      </c>
      <c r="L61" s="160">
        <f>5647162.6-J61</f>
        <v>3594298.8999999994</v>
      </c>
      <c r="M61" s="160">
        <v>2969035.8</v>
      </c>
      <c r="N61" s="160">
        <f>7916198.6-L61-J61</f>
        <v>2269036</v>
      </c>
      <c r="O61" s="160">
        <v>2646958.7999999998</v>
      </c>
      <c r="P61" s="160">
        <f>10563157.3-N61-L61-J61</f>
        <v>2646958.7000000011</v>
      </c>
      <c r="Q61" s="157"/>
      <c r="R61" s="48"/>
      <c r="S61" s="48"/>
    </row>
    <row r="62" spans="1:19" ht="85.5" customHeight="1" x14ac:dyDescent="0.25">
      <c r="A62" s="68" t="s">
        <v>92</v>
      </c>
      <c r="B62" s="157" t="s">
        <v>93</v>
      </c>
      <c r="C62" s="165"/>
      <c r="D62" s="164" t="s">
        <v>23</v>
      </c>
      <c r="E62" s="158">
        <v>43839</v>
      </c>
      <c r="F62" s="158">
        <v>44196</v>
      </c>
      <c r="G62" s="158">
        <v>43839</v>
      </c>
      <c r="H62" s="167">
        <v>44196</v>
      </c>
      <c r="I62" s="160">
        <v>7289.6</v>
      </c>
      <c r="J62" s="160">
        <v>7289.6</v>
      </c>
      <c r="K62" s="160">
        <v>4189.2</v>
      </c>
      <c r="L62" s="160">
        <f>11478.8-J62</f>
        <v>4189.1999999999989</v>
      </c>
      <c r="M62" s="160">
        <v>51763</v>
      </c>
      <c r="N62" s="160">
        <f>63241.8-L62-J62</f>
        <v>51763.000000000007</v>
      </c>
      <c r="O62" s="160">
        <v>8742.2999999999993</v>
      </c>
      <c r="P62" s="160">
        <f>71984-N62-L62-J62</f>
        <v>8742.1999999999935</v>
      </c>
      <c r="Q62" s="157" t="s">
        <v>557</v>
      </c>
      <c r="R62" s="48"/>
      <c r="S62" s="48"/>
    </row>
    <row r="63" spans="1:19" ht="220.5" customHeight="1" x14ac:dyDescent="0.25">
      <c r="A63" s="68" t="s">
        <v>94</v>
      </c>
      <c r="B63" s="157" t="s">
        <v>363</v>
      </c>
      <c r="C63" s="165"/>
      <c r="D63" s="164" t="s">
        <v>23</v>
      </c>
      <c r="E63" s="158">
        <v>43839</v>
      </c>
      <c r="F63" s="158">
        <v>44196</v>
      </c>
      <c r="G63" s="158">
        <v>43839</v>
      </c>
      <c r="H63" s="167">
        <v>44196</v>
      </c>
      <c r="I63" s="160">
        <v>4584.6000000000004</v>
      </c>
      <c r="J63" s="160">
        <v>4584.6000000000004</v>
      </c>
      <c r="K63" s="160">
        <v>6420.4</v>
      </c>
      <c r="L63" s="160">
        <f>11005-J63</f>
        <v>6420.4</v>
      </c>
      <c r="M63" s="160">
        <v>6146</v>
      </c>
      <c r="N63" s="160">
        <f>17151-L63-J63</f>
        <v>6146</v>
      </c>
      <c r="O63" s="160">
        <v>5597.2</v>
      </c>
      <c r="P63" s="160">
        <f>20902.6-N63-L63-J63</f>
        <v>3751.5999999999985</v>
      </c>
      <c r="Q63" s="135" t="s">
        <v>556</v>
      </c>
      <c r="R63" s="48"/>
      <c r="S63" s="48"/>
    </row>
    <row r="64" spans="1:19" ht="379.5" customHeight="1" x14ac:dyDescent="0.25">
      <c r="A64" s="162" t="s">
        <v>45</v>
      </c>
      <c r="B64" s="157" t="s">
        <v>231</v>
      </c>
      <c r="C64" s="165"/>
      <c r="D64" s="164" t="s">
        <v>401</v>
      </c>
      <c r="E64" s="159" t="s">
        <v>274</v>
      </c>
      <c r="F64" s="158">
        <v>44104</v>
      </c>
      <c r="G64" s="158">
        <v>44013</v>
      </c>
      <c r="H64" s="158">
        <v>44104</v>
      </c>
      <c r="I64" s="160">
        <v>0</v>
      </c>
      <c r="J64" s="160">
        <v>0</v>
      </c>
      <c r="K64" s="160">
        <v>0</v>
      </c>
      <c r="L64" s="160">
        <v>0</v>
      </c>
      <c r="M64" s="160">
        <v>1633.6</v>
      </c>
      <c r="N64" s="160">
        <v>1633.6</v>
      </c>
      <c r="O64" s="160">
        <v>0</v>
      </c>
      <c r="P64" s="160">
        <f>1633.6-N64-L64-J64</f>
        <v>0</v>
      </c>
      <c r="Q64" s="157"/>
      <c r="R64" s="48"/>
      <c r="S64" s="48"/>
    </row>
    <row r="65" spans="1:19" ht="262.5" x14ac:dyDescent="0.25">
      <c r="A65" s="162" t="s">
        <v>47</v>
      </c>
      <c r="B65" s="157" t="s">
        <v>232</v>
      </c>
      <c r="C65" s="165"/>
      <c r="D65" s="164" t="s">
        <v>402</v>
      </c>
      <c r="E65" s="158">
        <v>43922</v>
      </c>
      <c r="F65" s="158">
        <v>44012</v>
      </c>
      <c r="G65" s="158">
        <v>43922</v>
      </c>
      <c r="H65" s="158">
        <v>44012</v>
      </c>
      <c r="I65" s="160">
        <v>0</v>
      </c>
      <c r="J65" s="160">
        <v>0</v>
      </c>
      <c r="K65" s="160">
        <v>3462.9</v>
      </c>
      <c r="L65" s="160">
        <f>3462.9-J65</f>
        <v>3462.9</v>
      </c>
      <c r="M65" s="160">
        <v>0</v>
      </c>
      <c r="N65" s="160">
        <v>0</v>
      </c>
      <c r="O65" s="160">
        <v>0</v>
      </c>
      <c r="P65" s="160">
        <f>3462.9-N65-L65-J65</f>
        <v>0</v>
      </c>
      <c r="Q65" s="157"/>
      <c r="R65" s="48"/>
      <c r="S65" s="48"/>
    </row>
    <row r="66" spans="1:19" ht="221.25" customHeight="1" x14ac:dyDescent="0.25">
      <c r="A66" s="162" t="s">
        <v>98</v>
      </c>
      <c r="B66" s="157" t="s">
        <v>233</v>
      </c>
      <c r="C66" s="165"/>
      <c r="D66" s="164" t="s">
        <v>403</v>
      </c>
      <c r="E66" s="158">
        <v>43922</v>
      </c>
      <c r="F66" s="158">
        <v>44104</v>
      </c>
      <c r="G66" s="158">
        <v>43922</v>
      </c>
      <c r="H66" s="158">
        <v>44104</v>
      </c>
      <c r="I66" s="160">
        <v>0</v>
      </c>
      <c r="J66" s="160">
        <v>0</v>
      </c>
      <c r="K66" s="160">
        <v>13.7</v>
      </c>
      <c r="L66" s="160">
        <v>13.7</v>
      </c>
      <c r="M66" s="160">
        <v>1246.3</v>
      </c>
      <c r="N66" s="160">
        <f>1260-L66-J66</f>
        <v>1246.3</v>
      </c>
      <c r="O66" s="160">
        <v>0</v>
      </c>
      <c r="P66" s="160">
        <f>1260-N66-L66-J66</f>
        <v>4.6185277824406512E-14</v>
      </c>
      <c r="Q66" s="157"/>
      <c r="R66" s="48"/>
      <c r="S66" s="48"/>
    </row>
    <row r="67" spans="1:19" ht="207" customHeight="1" x14ac:dyDescent="0.25">
      <c r="A67" s="162" t="s">
        <v>100</v>
      </c>
      <c r="B67" s="157" t="s">
        <v>234</v>
      </c>
      <c r="C67" s="165"/>
      <c r="D67" s="164" t="s">
        <v>402</v>
      </c>
      <c r="E67" s="159" t="s">
        <v>274</v>
      </c>
      <c r="F67" s="158">
        <v>44104</v>
      </c>
      <c r="G67" s="158">
        <v>44013</v>
      </c>
      <c r="H67" s="158">
        <v>44104</v>
      </c>
      <c r="I67" s="160">
        <v>0</v>
      </c>
      <c r="J67" s="160">
        <v>0</v>
      </c>
      <c r="K67" s="160">
        <v>0</v>
      </c>
      <c r="L67" s="160">
        <v>0</v>
      </c>
      <c r="M67" s="160">
        <v>700</v>
      </c>
      <c r="N67" s="160">
        <v>700</v>
      </c>
      <c r="O67" s="160">
        <v>0</v>
      </c>
      <c r="P67" s="160">
        <v>0</v>
      </c>
      <c r="Q67" s="157"/>
      <c r="R67" s="48"/>
      <c r="S67" s="48"/>
    </row>
    <row r="68" spans="1:19" ht="126" customHeight="1" x14ac:dyDescent="0.25">
      <c r="A68" s="162" t="s">
        <v>102</v>
      </c>
      <c r="B68" s="157" t="s">
        <v>235</v>
      </c>
      <c r="C68" s="165"/>
      <c r="D68" s="164" t="s">
        <v>403</v>
      </c>
      <c r="E68" s="159" t="s">
        <v>271</v>
      </c>
      <c r="F68" s="159" t="s">
        <v>269</v>
      </c>
      <c r="G68" s="158">
        <v>43839</v>
      </c>
      <c r="H68" s="167">
        <v>44196</v>
      </c>
      <c r="I68" s="160">
        <v>4094.1</v>
      </c>
      <c r="J68" s="160">
        <v>4094.1</v>
      </c>
      <c r="K68" s="160">
        <v>3829.4</v>
      </c>
      <c r="L68" s="160">
        <f>7923.5-J68</f>
        <v>3829.4</v>
      </c>
      <c r="M68" s="160">
        <v>3669.3</v>
      </c>
      <c r="N68" s="160">
        <f>11592.8-L68-J68</f>
        <v>3669.2999999999997</v>
      </c>
      <c r="O68" s="160">
        <v>4239.6000000000004</v>
      </c>
      <c r="P68" s="160">
        <f>15698.2-N68-L68-J68</f>
        <v>4105.4000000000015</v>
      </c>
      <c r="Q68" s="135" t="s">
        <v>555</v>
      </c>
      <c r="R68" s="48"/>
      <c r="S68" s="48"/>
    </row>
    <row r="69" spans="1:19" ht="324.75" customHeight="1" x14ac:dyDescent="0.25">
      <c r="A69" s="162" t="s">
        <v>104</v>
      </c>
      <c r="B69" s="157" t="s">
        <v>236</v>
      </c>
      <c r="C69" s="165"/>
      <c r="D69" s="164" t="s">
        <v>403</v>
      </c>
      <c r="E69" s="158">
        <v>44013</v>
      </c>
      <c r="F69" s="158">
        <v>44104</v>
      </c>
      <c r="G69" s="158">
        <v>44013</v>
      </c>
      <c r="H69" s="158">
        <v>44104</v>
      </c>
      <c r="I69" s="160">
        <v>0</v>
      </c>
      <c r="J69" s="160">
        <v>0</v>
      </c>
      <c r="K69" s="160">
        <v>0</v>
      </c>
      <c r="L69" s="160">
        <v>0</v>
      </c>
      <c r="M69" s="160">
        <v>1000</v>
      </c>
      <c r="N69" s="160">
        <v>1000</v>
      </c>
      <c r="O69" s="160">
        <v>0</v>
      </c>
      <c r="P69" s="160">
        <v>0</v>
      </c>
      <c r="Q69" s="157"/>
      <c r="R69" s="48"/>
      <c r="S69" s="48"/>
    </row>
    <row r="70" spans="1:19" ht="348" customHeight="1" x14ac:dyDescent="0.25">
      <c r="A70" s="162" t="s">
        <v>456</v>
      </c>
      <c r="B70" s="157" t="s">
        <v>306</v>
      </c>
      <c r="C70" s="165"/>
      <c r="D70" s="164" t="s">
        <v>404</v>
      </c>
      <c r="E70" s="158">
        <v>43922</v>
      </c>
      <c r="F70" s="158">
        <v>44012</v>
      </c>
      <c r="G70" s="158">
        <v>43922</v>
      </c>
      <c r="H70" s="158">
        <v>44012</v>
      </c>
      <c r="I70" s="160">
        <v>0</v>
      </c>
      <c r="J70" s="160">
        <v>0</v>
      </c>
      <c r="K70" s="160">
        <v>4400</v>
      </c>
      <c r="L70" s="160">
        <v>4400</v>
      </c>
      <c r="M70" s="160">
        <v>0</v>
      </c>
      <c r="N70" s="160">
        <v>0</v>
      </c>
      <c r="O70" s="160">
        <v>0</v>
      </c>
      <c r="P70" s="160">
        <v>0</v>
      </c>
      <c r="Q70" s="133" t="s">
        <v>449</v>
      </c>
      <c r="R70" s="48"/>
      <c r="S70" s="48"/>
    </row>
    <row r="71" spans="1:19" ht="237.75" customHeight="1" x14ac:dyDescent="0.25">
      <c r="A71" s="162" t="s">
        <v>48</v>
      </c>
      <c r="B71" s="157" t="s">
        <v>264</v>
      </c>
      <c r="C71" s="165"/>
      <c r="D71" s="164" t="s">
        <v>403</v>
      </c>
      <c r="E71" s="158">
        <v>44105</v>
      </c>
      <c r="F71" s="158">
        <v>44196</v>
      </c>
      <c r="G71" s="158">
        <v>44105</v>
      </c>
      <c r="H71" s="167">
        <v>44196</v>
      </c>
      <c r="I71" s="160">
        <v>0</v>
      </c>
      <c r="J71" s="160">
        <v>0</v>
      </c>
      <c r="K71" s="160">
        <v>0</v>
      </c>
      <c r="L71" s="160">
        <v>0</v>
      </c>
      <c r="M71" s="160">
        <v>0</v>
      </c>
      <c r="N71" s="160">
        <v>0</v>
      </c>
      <c r="O71" s="160">
        <v>13033.4</v>
      </c>
      <c r="P71" s="160"/>
      <c r="Q71" s="133" t="s">
        <v>554</v>
      </c>
      <c r="R71" s="48"/>
      <c r="S71" s="48"/>
    </row>
    <row r="72" spans="1:19" ht="223.5" customHeight="1" x14ac:dyDescent="0.25">
      <c r="A72" s="162"/>
      <c r="B72" s="157" t="s">
        <v>237</v>
      </c>
      <c r="C72" s="165">
        <v>1</v>
      </c>
      <c r="D72" s="164" t="s">
        <v>405</v>
      </c>
      <c r="E72" s="159" t="s">
        <v>23</v>
      </c>
      <c r="F72" s="158">
        <v>44196</v>
      </c>
      <c r="G72" s="64" t="s">
        <v>23</v>
      </c>
      <c r="H72" s="167">
        <v>44196</v>
      </c>
      <c r="I72" s="160" t="s">
        <v>23</v>
      </c>
      <c r="J72" s="160" t="s">
        <v>23</v>
      </c>
      <c r="K72" s="160" t="s">
        <v>23</v>
      </c>
      <c r="L72" s="160" t="s">
        <v>23</v>
      </c>
      <c r="M72" s="160" t="s">
        <v>23</v>
      </c>
      <c r="N72" s="160" t="s">
        <v>23</v>
      </c>
      <c r="O72" s="160" t="s">
        <v>23</v>
      </c>
      <c r="P72" s="160" t="s">
        <v>23</v>
      </c>
      <c r="Q72" s="163"/>
      <c r="R72" s="48"/>
      <c r="S72" s="48"/>
    </row>
    <row r="73" spans="1:19" ht="121.5" customHeight="1" x14ac:dyDescent="0.25">
      <c r="A73" s="162"/>
      <c r="B73" s="157" t="s">
        <v>327</v>
      </c>
      <c r="C73" s="165" t="s">
        <v>23</v>
      </c>
      <c r="D73" s="164" t="s">
        <v>406</v>
      </c>
      <c r="E73" s="159" t="s">
        <v>23</v>
      </c>
      <c r="F73" s="158">
        <v>44196</v>
      </c>
      <c r="G73" s="159" t="s">
        <v>23</v>
      </c>
      <c r="H73" s="167">
        <v>44196</v>
      </c>
      <c r="I73" s="160" t="s">
        <v>23</v>
      </c>
      <c r="J73" s="160" t="s">
        <v>23</v>
      </c>
      <c r="K73" s="160" t="s">
        <v>23</v>
      </c>
      <c r="L73" s="160" t="s">
        <v>23</v>
      </c>
      <c r="M73" s="160" t="s">
        <v>23</v>
      </c>
      <c r="N73" s="160" t="s">
        <v>23</v>
      </c>
      <c r="O73" s="160" t="s">
        <v>23</v>
      </c>
      <c r="P73" s="160" t="s">
        <v>23</v>
      </c>
      <c r="Q73" s="163"/>
      <c r="R73" s="48"/>
      <c r="S73" s="48"/>
    </row>
    <row r="74" spans="1:19" ht="240.75" customHeight="1" x14ac:dyDescent="0.25">
      <c r="A74" s="162"/>
      <c r="B74" s="157" t="s">
        <v>328</v>
      </c>
      <c r="C74" s="165" t="s">
        <v>23</v>
      </c>
      <c r="D74" s="164" t="s">
        <v>403</v>
      </c>
      <c r="E74" s="159" t="s">
        <v>23</v>
      </c>
      <c r="F74" s="158">
        <v>44196</v>
      </c>
      <c r="G74" s="159" t="s">
        <v>23</v>
      </c>
      <c r="H74" s="167">
        <v>44196</v>
      </c>
      <c r="I74" s="160" t="s">
        <v>23</v>
      </c>
      <c r="J74" s="160" t="s">
        <v>23</v>
      </c>
      <c r="K74" s="160" t="s">
        <v>23</v>
      </c>
      <c r="L74" s="160" t="s">
        <v>23</v>
      </c>
      <c r="M74" s="160" t="s">
        <v>23</v>
      </c>
      <c r="N74" s="160" t="s">
        <v>23</v>
      </c>
      <c r="O74" s="160" t="s">
        <v>23</v>
      </c>
      <c r="P74" s="160" t="s">
        <v>23</v>
      </c>
      <c r="Q74" s="163"/>
      <c r="R74" s="48"/>
      <c r="S74" s="48"/>
    </row>
    <row r="75" spans="1:19" ht="33" customHeight="1" x14ac:dyDescent="0.25">
      <c r="A75" s="62" t="s">
        <v>238</v>
      </c>
      <c r="B75" s="309" t="s">
        <v>239</v>
      </c>
      <c r="C75" s="309"/>
      <c r="D75" s="309"/>
      <c r="E75" s="309"/>
      <c r="F75" s="309"/>
      <c r="G75" s="309"/>
      <c r="H75" s="309"/>
      <c r="I75" s="91">
        <f>I77+I79+I87+I89+I90+I92+I93+I96+I94+I98+I99+I100+I101+I104+I106+I108+I110+I111+I112+I113+I115+I116+I102+I97</f>
        <v>4883832.3000000007</v>
      </c>
      <c r="J75" s="91">
        <f>J77+J79+J87+J89+J90+J92+J93+J96+J94+J98+J99+J100+J101+J104+J106+J108+J110+J111+J112+J113+J115+J116+J102+J97</f>
        <v>4949034.5000000019</v>
      </c>
      <c r="K75" s="91">
        <f>K77+K79+K87+K89+K90+K92+K93+K96+K94+K98+K99+K100+K101+K104+K106+K108+K110+K111+K112+K113+K115+K116+K102+K97+K103</f>
        <v>5619586.200000002</v>
      </c>
      <c r="L75" s="91">
        <f>L77+L79+L87+L89+L90+L92+L93+L96+L94+L98+L99+L100+L101+L104+L106+L108+L110+L111+L112+L113+L115+L116+L102+L97+L103</f>
        <v>6165873.6000000015</v>
      </c>
      <c r="M75" s="91">
        <f>M77+M79+M87+M89+M90+M92+M93+M96+M94+M98+M99+M100+M101+M104+M106+M108+M110+M111+M112+M113+M115+M116+M102+M97</f>
        <v>13639994.799999999</v>
      </c>
      <c r="N75" s="91">
        <f>N77+N79+N87+N89+N90+N92+N93+N96+N94+N98+N99+N100+N101+N104+N106+N108+N110+N111+N112+N113+N115+N116+N102+N97</f>
        <v>13303893.500000002</v>
      </c>
      <c r="O75" s="91">
        <f>O77+O79+O87+O89+O90+O92+O93+O94+O96+O97+O99+O100+O101+O102+O104+O106+O108+O110+O111+O112+O113+O115+O116</f>
        <v>12162056.200000003</v>
      </c>
      <c r="P75" s="91">
        <f>P77+P79+P87+P89+P90+P92+P93+P96+P94+P98+P99+P100+P101+P104+P106+P108+P110+P111+P112+P113+P115+P116+P102+P97</f>
        <v>10915473.299999999</v>
      </c>
      <c r="Q75" s="163"/>
      <c r="R75" s="63"/>
      <c r="S75" s="63"/>
    </row>
    <row r="76" spans="1:19" ht="163.5" customHeight="1" x14ac:dyDescent="0.25">
      <c r="A76" s="162" t="s">
        <v>78</v>
      </c>
      <c r="B76" s="157" t="s">
        <v>240</v>
      </c>
      <c r="C76" s="164"/>
      <c r="D76" s="164" t="s">
        <v>23</v>
      </c>
      <c r="E76" s="64"/>
      <c r="F76" s="64"/>
      <c r="G76" s="64"/>
      <c r="H76" s="159"/>
      <c r="I76" s="160"/>
      <c r="J76" s="160"/>
      <c r="K76" s="160"/>
      <c r="L76" s="160"/>
      <c r="M76" s="160"/>
      <c r="N76" s="160"/>
      <c r="O76" s="160"/>
      <c r="P76" s="160"/>
      <c r="Q76" s="157"/>
      <c r="R76" s="48"/>
      <c r="S76" s="48"/>
    </row>
    <row r="77" spans="1:19" ht="213.75" customHeight="1" x14ac:dyDescent="0.25">
      <c r="A77" s="162" t="s">
        <v>33</v>
      </c>
      <c r="B77" s="157" t="s">
        <v>241</v>
      </c>
      <c r="C77" s="165"/>
      <c r="D77" s="164" t="s">
        <v>407</v>
      </c>
      <c r="E77" s="158">
        <v>43839</v>
      </c>
      <c r="F77" s="158">
        <v>44196</v>
      </c>
      <c r="G77" s="158">
        <v>43839</v>
      </c>
      <c r="H77" s="167">
        <v>44196</v>
      </c>
      <c r="I77" s="160">
        <v>455383.6</v>
      </c>
      <c r="J77" s="160">
        <v>459248.6</v>
      </c>
      <c r="K77" s="160">
        <v>600235.80000000005</v>
      </c>
      <c r="L77" s="160">
        <f>L78</f>
        <v>602875.9</v>
      </c>
      <c r="M77" s="160">
        <v>590126.80000000005</v>
      </c>
      <c r="N77" s="160">
        <f>N78</f>
        <v>594418.29999999993</v>
      </c>
      <c r="O77" s="160">
        <v>868001.2</v>
      </c>
      <c r="P77" s="160">
        <f>P78</f>
        <v>826614.2000000003</v>
      </c>
      <c r="Q77" s="157"/>
      <c r="R77" s="48"/>
      <c r="S77" s="48"/>
    </row>
    <row r="78" spans="1:19" ht="90" customHeight="1" x14ac:dyDescent="0.25">
      <c r="A78" s="165" t="s">
        <v>81</v>
      </c>
      <c r="B78" s="157" t="s">
        <v>86</v>
      </c>
      <c r="C78" s="165"/>
      <c r="D78" s="164" t="s">
        <v>23</v>
      </c>
      <c r="E78" s="158">
        <v>43839</v>
      </c>
      <c r="F78" s="158">
        <v>44196</v>
      </c>
      <c r="G78" s="158">
        <v>43839</v>
      </c>
      <c r="H78" s="167">
        <v>44196</v>
      </c>
      <c r="I78" s="160">
        <v>455383.6</v>
      </c>
      <c r="J78" s="160">
        <v>459248.6</v>
      </c>
      <c r="K78" s="160">
        <v>600235.80000000005</v>
      </c>
      <c r="L78" s="160">
        <f>1062124.5-J78</f>
        <v>602875.9</v>
      </c>
      <c r="M78" s="160">
        <v>590126.80000000005</v>
      </c>
      <c r="N78" s="160">
        <f>1656542.8-L78-J78</f>
        <v>594418.29999999993</v>
      </c>
      <c r="O78" s="160">
        <v>868001.2</v>
      </c>
      <c r="P78" s="160">
        <f>2483157-N78-L78-J78</f>
        <v>826614.2000000003</v>
      </c>
      <c r="Q78" s="157" t="s">
        <v>553</v>
      </c>
      <c r="R78" s="48"/>
      <c r="S78" s="48"/>
    </row>
    <row r="79" spans="1:19" ht="270" customHeight="1" x14ac:dyDescent="0.25">
      <c r="A79" s="300" t="s">
        <v>34</v>
      </c>
      <c r="B79" s="297" t="s">
        <v>242</v>
      </c>
      <c r="C79" s="301"/>
      <c r="D79" s="302" t="s">
        <v>408</v>
      </c>
      <c r="E79" s="299">
        <v>43839</v>
      </c>
      <c r="F79" s="299">
        <v>44196</v>
      </c>
      <c r="G79" s="299">
        <v>43839</v>
      </c>
      <c r="H79" s="299">
        <v>44196</v>
      </c>
      <c r="I79" s="298">
        <f>I81+I82</f>
        <v>59382.100000000006</v>
      </c>
      <c r="J79" s="298">
        <v>59471.8</v>
      </c>
      <c r="K79" s="298">
        <v>82683.899999999994</v>
      </c>
      <c r="L79" s="298">
        <f>L81+L82</f>
        <v>82607.5</v>
      </c>
      <c r="M79" s="298">
        <v>87076.7</v>
      </c>
      <c r="N79" s="298">
        <f>N81+N82</f>
        <v>87230.5</v>
      </c>
      <c r="O79" s="298">
        <v>102232.2</v>
      </c>
      <c r="P79" s="298">
        <f>P81+P82</f>
        <v>72003.199999999983</v>
      </c>
      <c r="Q79" s="297" t="s">
        <v>552</v>
      </c>
      <c r="R79" s="48"/>
      <c r="S79" s="48"/>
    </row>
    <row r="80" spans="1:19" ht="107.25" customHeight="1" x14ac:dyDescent="0.25">
      <c r="A80" s="300"/>
      <c r="B80" s="297"/>
      <c r="C80" s="301"/>
      <c r="D80" s="302"/>
      <c r="E80" s="299"/>
      <c r="F80" s="308"/>
      <c r="G80" s="299"/>
      <c r="H80" s="308"/>
      <c r="I80" s="298"/>
      <c r="J80" s="298"/>
      <c r="K80" s="298"/>
      <c r="L80" s="298"/>
      <c r="M80" s="298"/>
      <c r="N80" s="298"/>
      <c r="O80" s="298"/>
      <c r="P80" s="298"/>
      <c r="Q80" s="297"/>
      <c r="R80" s="48"/>
      <c r="S80" s="48"/>
    </row>
    <row r="81" spans="1:19" ht="85.5" customHeight="1" x14ac:dyDescent="0.25">
      <c r="A81" s="162" t="s">
        <v>111</v>
      </c>
      <c r="B81" s="157" t="s">
        <v>86</v>
      </c>
      <c r="C81" s="165"/>
      <c r="D81" s="164" t="s">
        <v>23</v>
      </c>
      <c r="E81" s="158">
        <v>43839</v>
      </c>
      <c r="F81" s="158">
        <v>44196</v>
      </c>
      <c r="G81" s="158">
        <v>43839</v>
      </c>
      <c r="H81" s="167">
        <v>44196</v>
      </c>
      <c r="I81" s="160">
        <v>15911.7</v>
      </c>
      <c r="J81" s="160">
        <v>16001.4</v>
      </c>
      <c r="K81" s="160">
        <v>22269.8</v>
      </c>
      <c r="L81" s="160">
        <f>38194.8-J81</f>
        <v>22193.4</v>
      </c>
      <c r="M81" s="160">
        <v>17997.900000000001</v>
      </c>
      <c r="N81" s="160">
        <f>56346.5-L81-J81</f>
        <v>18151.699999999997</v>
      </c>
      <c r="O81" s="160">
        <v>63357.7</v>
      </c>
      <c r="P81" s="160">
        <f>89475.2-N81-L81-J81</f>
        <v>33128.699999999997</v>
      </c>
      <c r="Q81" s="157" t="s">
        <v>552</v>
      </c>
      <c r="R81" s="48"/>
      <c r="S81" s="48"/>
    </row>
    <row r="82" spans="1:19" ht="83.25" customHeight="1" x14ac:dyDescent="0.25">
      <c r="A82" s="162" t="s">
        <v>112</v>
      </c>
      <c r="B82" s="157" t="s">
        <v>113</v>
      </c>
      <c r="C82" s="165"/>
      <c r="D82" s="164" t="s">
        <v>23</v>
      </c>
      <c r="E82" s="158">
        <v>43839</v>
      </c>
      <c r="F82" s="158">
        <v>44196</v>
      </c>
      <c r="G82" s="158">
        <v>43839</v>
      </c>
      <c r="H82" s="167">
        <v>44196</v>
      </c>
      <c r="I82" s="160">
        <f>I83+I84+I85</f>
        <v>43470.400000000001</v>
      </c>
      <c r="J82" s="160">
        <v>43470.400000000001</v>
      </c>
      <c r="K82" s="160">
        <v>60414.1</v>
      </c>
      <c r="L82" s="160">
        <f>L83+L84+L85</f>
        <v>60414.1</v>
      </c>
      <c r="M82" s="160">
        <v>69078.8</v>
      </c>
      <c r="N82" s="160">
        <f>N83+N84+N85</f>
        <v>69078.8</v>
      </c>
      <c r="O82" s="160">
        <v>38874.5</v>
      </c>
      <c r="P82" s="160">
        <f>P83+P84+P85</f>
        <v>38874.499999999993</v>
      </c>
      <c r="Q82" s="157"/>
      <c r="R82" s="48"/>
      <c r="S82" s="48"/>
    </row>
    <row r="83" spans="1:19" ht="81.75" customHeight="1" x14ac:dyDescent="0.25">
      <c r="A83" s="162" t="s">
        <v>114</v>
      </c>
      <c r="B83" s="157" t="s">
        <v>91</v>
      </c>
      <c r="C83" s="165"/>
      <c r="D83" s="164" t="s">
        <v>23</v>
      </c>
      <c r="E83" s="158">
        <v>43839</v>
      </c>
      <c r="F83" s="158">
        <v>44196</v>
      </c>
      <c r="G83" s="158">
        <v>43839</v>
      </c>
      <c r="H83" s="167">
        <v>44196</v>
      </c>
      <c r="I83" s="160">
        <v>38762</v>
      </c>
      <c r="J83" s="160">
        <v>38762</v>
      </c>
      <c r="K83" s="160">
        <v>49124</v>
      </c>
      <c r="L83" s="160">
        <f>87886-J83</f>
        <v>49124</v>
      </c>
      <c r="M83" s="160">
        <v>66481.100000000006</v>
      </c>
      <c r="N83" s="160">
        <f>154367.1-L83-J83</f>
        <v>66481.100000000006</v>
      </c>
      <c r="O83" s="160">
        <v>38418.9</v>
      </c>
      <c r="P83" s="160">
        <f>192786-N83-L83-J83</f>
        <v>38418.899999999994</v>
      </c>
      <c r="Q83" s="157"/>
      <c r="R83" s="48"/>
      <c r="S83" s="48"/>
    </row>
    <row r="84" spans="1:19" ht="84.75" customHeight="1" x14ac:dyDescent="0.25">
      <c r="A84" s="162" t="s">
        <v>115</v>
      </c>
      <c r="B84" s="157" t="s">
        <v>93</v>
      </c>
      <c r="C84" s="165"/>
      <c r="D84" s="164" t="s">
        <v>23</v>
      </c>
      <c r="E84" s="158">
        <v>43839</v>
      </c>
      <c r="F84" s="158">
        <v>44104</v>
      </c>
      <c r="G84" s="158">
        <v>43839</v>
      </c>
      <c r="H84" s="158">
        <v>44104</v>
      </c>
      <c r="I84" s="160">
        <v>4070</v>
      </c>
      <c r="J84" s="160">
        <v>4070</v>
      </c>
      <c r="K84" s="160">
        <v>11160</v>
      </c>
      <c r="L84" s="160">
        <f>15230-J84</f>
        <v>11160</v>
      </c>
      <c r="M84" s="160">
        <v>2519.6999999999998</v>
      </c>
      <c r="N84" s="160">
        <f>17749.7-L84-J84</f>
        <v>2519.7000000000007</v>
      </c>
      <c r="O84" s="160">
        <v>0</v>
      </c>
      <c r="P84" s="160">
        <f>17749.7-N84-L84-J84</f>
        <v>0</v>
      </c>
      <c r="Q84" s="157"/>
      <c r="R84" s="48"/>
      <c r="S84" s="48"/>
    </row>
    <row r="85" spans="1:19" ht="90" customHeight="1" x14ac:dyDescent="0.25">
      <c r="A85" s="300" t="s">
        <v>116</v>
      </c>
      <c r="B85" s="297" t="s">
        <v>307</v>
      </c>
      <c r="C85" s="301"/>
      <c r="D85" s="302" t="s">
        <v>23</v>
      </c>
      <c r="E85" s="299">
        <v>43839</v>
      </c>
      <c r="F85" s="299">
        <v>44196</v>
      </c>
      <c r="G85" s="299">
        <v>43839</v>
      </c>
      <c r="H85" s="299">
        <v>44196</v>
      </c>
      <c r="I85" s="298">
        <v>638.4</v>
      </c>
      <c r="J85" s="298">
        <v>638.4</v>
      </c>
      <c r="K85" s="298">
        <v>130.1</v>
      </c>
      <c r="L85" s="298">
        <f>768.5-J85</f>
        <v>130.10000000000002</v>
      </c>
      <c r="M85" s="298">
        <v>78</v>
      </c>
      <c r="N85" s="298">
        <f>846.5-L85-J85</f>
        <v>78</v>
      </c>
      <c r="O85" s="298">
        <v>455.6</v>
      </c>
      <c r="P85" s="298">
        <f>1302.1-N85-L85-J85</f>
        <v>455.6</v>
      </c>
      <c r="Q85" s="297"/>
      <c r="R85" s="48"/>
      <c r="S85" s="48"/>
    </row>
    <row r="86" spans="1:19" ht="242.25" customHeight="1" x14ac:dyDescent="0.25">
      <c r="A86" s="300"/>
      <c r="B86" s="297"/>
      <c r="C86" s="301"/>
      <c r="D86" s="302"/>
      <c r="E86" s="308"/>
      <c r="F86" s="308"/>
      <c r="G86" s="299"/>
      <c r="H86" s="308"/>
      <c r="I86" s="298"/>
      <c r="J86" s="298"/>
      <c r="K86" s="298"/>
      <c r="L86" s="298"/>
      <c r="M86" s="298"/>
      <c r="N86" s="298"/>
      <c r="O86" s="298"/>
      <c r="P86" s="298"/>
      <c r="Q86" s="297"/>
      <c r="R86" s="48"/>
      <c r="S86" s="48"/>
    </row>
    <row r="87" spans="1:19" ht="327.75" customHeight="1" x14ac:dyDescent="0.25">
      <c r="A87" s="300" t="s">
        <v>83</v>
      </c>
      <c r="B87" s="297" t="s">
        <v>364</v>
      </c>
      <c r="C87" s="301"/>
      <c r="D87" s="302" t="s">
        <v>409</v>
      </c>
      <c r="E87" s="299">
        <v>43839</v>
      </c>
      <c r="F87" s="299">
        <v>44196</v>
      </c>
      <c r="G87" s="299">
        <v>43839</v>
      </c>
      <c r="H87" s="299">
        <v>44196</v>
      </c>
      <c r="I87" s="298">
        <v>97853.1</v>
      </c>
      <c r="J87" s="298">
        <v>97853.1</v>
      </c>
      <c r="K87" s="298">
        <v>84000</v>
      </c>
      <c r="L87" s="298">
        <f>181853.1-J87</f>
        <v>84000</v>
      </c>
      <c r="M87" s="298">
        <v>84000</v>
      </c>
      <c r="N87" s="298">
        <f>265853.1-L87-J87</f>
        <v>83999.999999999971</v>
      </c>
      <c r="O87" s="298">
        <v>2000</v>
      </c>
      <c r="P87" s="298">
        <f>267853.1-N87-L87-J87</f>
        <v>2000</v>
      </c>
      <c r="Q87" s="297"/>
      <c r="R87" s="48"/>
      <c r="S87" s="48"/>
    </row>
    <row r="88" spans="1:19" ht="143.25" customHeight="1" x14ac:dyDescent="0.25">
      <c r="A88" s="300"/>
      <c r="B88" s="297"/>
      <c r="C88" s="301"/>
      <c r="D88" s="302"/>
      <c r="E88" s="299"/>
      <c r="F88" s="299"/>
      <c r="G88" s="299"/>
      <c r="H88" s="299"/>
      <c r="I88" s="298"/>
      <c r="J88" s="298"/>
      <c r="K88" s="298"/>
      <c r="L88" s="298"/>
      <c r="M88" s="298"/>
      <c r="N88" s="298"/>
      <c r="O88" s="298"/>
      <c r="P88" s="298"/>
      <c r="Q88" s="297"/>
      <c r="R88" s="48"/>
      <c r="S88" s="48"/>
    </row>
    <row r="89" spans="1:19" ht="178.5" customHeight="1" x14ac:dyDescent="0.25">
      <c r="A89" s="162" t="s">
        <v>36</v>
      </c>
      <c r="B89" s="157" t="s">
        <v>368</v>
      </c>
      <c r="C89" s="165"/>
      <c r="D89" s="164" t="s">
        <v>410</v>
      </c>
      <c r="E89" s="158">
        <v>43839</v>
      </c>
      <c r="F89" s="158">
        <v>44196</v>
      </c>
      <c r="G89" s="158">
        <v>43839</v>
      </c>
      <c r="H89" s="167">
        <v>44196</v>
      </c>
      <c r="I89" s="160">
        <v>250634.1</v>
      </c>
      <c r="J89" s="160">
        <v>251043.20000000001</v>
      </c>
      <c r="K89" s="160">
        <v>250454.9</v>
      </c>
      <c r="L89" s="160">
        <f>501250.9-J89</f>
        <v>250207.7</v>
      </c>
      <c r="M89" s="160">
        <v>268385.5</v>
      </c>
      <c r="N89" s="160">
        <f>770071.7-L89-J89</f>
        <v>268820.79999999993</v>
      </c>
      <c r="O89" s="160">
        <v>267593.09999999998</v>
      </c>
      <c r="P89" s="160">
        <f>1008193.2-N89-L89-J89</f>
        <v>238121.5</v>
      </c>
      <c r="Q89" s="135" t="s">
        <v>448</v>
      </c>
      <c r="R89" s="48"/>
      <c r="S89" s="48"/>
    </row>
    <row r="90" spans="1:19" ht="408.75" customHeight="1" x14ac:dyDescent="0.25">
      <c r="A90" s="300" t="s">
        <v>37</v>
      </c>
      <c r="B90" s="297" t="s">
        <v>365</v>
      </c>
      <c r="C90" s="301"/>
      <c r="D90" s="302" t="s">
        <v>411</v>
      </c>
      <c r="E90" s="299">
        <v>43839</v>
      </c>
      <c r="F90" s="299">
        <v>44196</v>
      </c>
      <c r="G90" s="299">
        <v>43839</v>
      </c>
      <c r="H90" s="299">
        <v>44196</v>
      </c>
      <c r="I90" s="298">
        <v>31953.5</v>
      </c>
      <c r="J90" s="298">
        <v>31950.1</v>
      </c>
      <c r="K90" s="298">
        <v>27506.6</v>
      </c>
      <c r="L90" s="298">
        <f>66963.8-J90</f>
        <v>35013.700000000004</v>
      </c>
      <c r="M90" s="298">
        <v>28673.599999999999</v>
      </c>
      <c r="N90" s="298">
        <f>88228.3-L90-J90</f>
        <v>21264.5</v>
      </c>
      <c r="O90" s="298">
        <v>40624.400000000001</v>
      </c>
      <c r="P90" s="298">
        <f>116559.9-N90-L90-J90</f>
        <v>28331.599999999991</v>
      </c>
      <c r="Q90" s="136" t="s">
        <v>551</v>
      </c>
      <c r="R90" s="48"/>
      <c r="S90" s="48"/>
    </row>
    <row r="91" spans="1:19" ht="28.5" customHeight="1" x14ac:dyDescent="0.25">
      <c r="A91" s="300"/>
      <c r="B91" s="297"/>
      <c r="C91" s="301"/>
      <c r="D91" s="302"/>
      <c r="E91" s="299"/>
      <c r="F91" s="308"/>
      <c r="G91" s="299"/>
      <c r="H91" s="308"/>
      <c r="I91" s="298"/>
      <c r="J91" s="298"/>
      <c r="K91" s="298"/>
      <c r="L91" s="298"/>
      <c r="M91" s="298"/>
      <c r="N91" s="298"/>
      <c r="O91" s="298"/>
      <c r="P91" s="298"/>
      <c r="Q91" s="136"/>
      <c r="R91" s="48"/>
      <c r="S91" s="48"/>
    </row>
    <row r="92" spans="1:19" ht="336" customHeight="1" x14ac:dyDescent="0.25">
      <c r="A92" s="162" t="s">
        <v>41</v>
      </c>
      <c r="B92" s="157" t="s">
        <v>308</v>
      </c>
      <c r="C92" s="165"/>
      <c r="D92" s="164" t="s">
        <v>411</v>
      </c>
      <c r="E92" s="158">
        <v>43839</v>
      </c>
      <c r="F92" s="158">
        <v>44196</v>
      </c>
      <c r="G92" s="158">
        <v>43839</v>
      </c>
      <c r="H92" s="167">
        <v>44196</v>
      </c>
      <c r="I92" s="160">
        <v>5385.8</v>
      </c>
      <c r="J92" s="160">
        <v>5394.9</v>
      </c>
      <c r="K92" s="160">
        <v>5279.8</v>
      </c>
      <c r="L92" s="160">
        <f>10665.6-J92</f>
        <v>5270.7000000000007</v>
      </c>
      <c r="M92" s="160">
        <v>4453.8</v>
      </c>
      <c r="N92" s="160">
        <f>15168.3-L92-J92</f>
        <v>4502.6999999999989</v>
      </c>
      <c r="O92" s="160">
        <v>10144.799999999999</v>
      </c>
      <c r="P92" s="160">
        <f>19351-N92-L92-J92</f>
        <v>4182.7000000000007</v>
      </c>
      <c r="Q92" s="135" t="s">
        <v>550</v>
      </c>
      <c r="R92" s="48"/>
      <c r="S92" s="48"/>
    </row>
    <row r="93" spans="1:19" ht="297.75" customHeight="1" x14ac:dyDescent="0.25">
      <c r="A93" s="162" t="s">
        <v>117</v>
      </c>
      <c r="B93" s="157" t="s">
        <v>309</v>
      </c>
      <c r="C93" s="165"/>
      <c r="D93" s="164" t="s">
        <v>411</v>
      </c>
      <c r="E93" s="158">
        <v>43839</v>
      </c>
      <c r="F93" s="158">
        <v>44196</v>
      </c>
      <c r="G93" s="158">
        <v>43839</v>
      </c>
      <c r="H93" s="167">
        <v>44196</v>
      </c>
      <c r="I93" s="160">
        <v>790587.8</v>
      </c>
      <c r="J93" s="160">
        <v>794238.9</v>
      </c>
      <c r="K93" s="160">
        <v>732731.8</v>
      </c>
      <c r="L93" s="160">
        <f>1525379.5-J93</f>
        <v>731140.6</v>
      </c>
      <c r="M93" s="160">
        <v>914244.6</v>
      </c>
      <c r="N93" s="160">
        <f>2446431.9-L93-J93</f>
        <v>921052.39999999979</v>
      </c>
      <c r="O93" s="160">
        <v>1147273.3</v>
      </c>
      <c r="P93" s="160">
        <f>3397682.4-N93-L93-J93</f>
        <v>951250.49999999988</v>
      </c>
      <c r="Q93" s="139" t="s">
        <v>549</v>
      </c>
      <c r="R93" s="48"/>
      <c r="S93" s="48"/>
    </row>
    <row r="94" spans="1:19" ht="408.75" customHeight="1" x14ac:dyDescent="0.25">
      <c r="A94" s="300" t="s">
        <v>118</v>
      </c>
      <c r="B94" s="297" t="s">
        <v>369</v>
      </c>
      <c r="C94" s="301"/>
      <c r="D94" s="302" t="s">
        <v>411</v>
      </c>
      <c r="E94" s="299">
        <v>43839</v>
      </c>
      <c r="F94" s="299">
        <v>44196</v>
      </c>
      <c r="G94" s="299">
        <v>43839</v>
      </c>
      <c r="H94" s="299">
        <v>44196</v>
      </c>
      <c r="I94" s="298">
        <v>904139.2</v>
      </c>
      <c r="J94" s="298">
        <v>904409.4</v>
      </c>
      <c r="K94" s="298">
        <v>879555.6</v>
      </c>
      <c r="L94" s="298">
        <f>2028102.2-J94</f>
        <v>1123692.7999999998</v>
      </c>
      <c r="M94" s="298">
        <v>877822.7</v>
      </c>
      <c r="N94" s="298">
        <f>2663076.6-L94-J94</f>
        <v>634974.40000000026</v>
      </c>
      <c r="O94" s="298">
        <v>975083.9</v>
      </c>
      <c r="P94" s="298">
        <f>3564094.4-N94-L94-J94</f>
        <v>901017.7999999997</v>
      </c>
      <c r="Q94" s="135" t="s">
        <v>447</v>
      </c>
      <c r="R94" s="48"/>
      <c r="S94" s="48"/>
    </row>
    <row r="95" spans="1:19" ht="254.25" customHeight="1" x14ac:dyDescent="0.25">
      <c r="A95" s="300"/>
      <c r="B95" s="297"/>
      <c r="C95" s="301"/>
      <c r="D95" s="302"/>
      <c r="E95" s="299"/>
      <c r="F95" s="308"/>
      <c r="G95" s="299"/>
      <c r="H95" s="308"/>
      <c r="I95" s="298"/>
      <c r="J95" s="298"/>
      <c r="K95" s="298"/>
      <c r="L95" s="298"/>
      <c r="M95" s="298"/>
      <c r="N95" s="298"/>
      <c r="O95" s="298"/>
      <c r="P95" s="298"/>
      <c r="Q95" s="135"/>
      <c r="R95" s="48"/>
      <c r="S95" s="48"/>
    </row>
    <row r="96" spans="1:19" ht="219" customHeight="1" x14ac:dyDescent="0.25">
      <c r="A96" s="162" t="s">
        <v>119</v>
      </c>
      <c r="B96" s="157" t="s">
        <v>254</v>
      </c>
      <c r="C96" s="165"/>
      <c r="D96" s="164" t="s">
        <v>411</v>
      </c>
      <c r="E96" s="158">
        <v>43839</v>
      </c>
      <c r="F96" s="158">
        <v>44196</v>
      </c>
      <c r="G96" s="158">
        <v>43839</v>
      </c>
      <c r="H96" s="167">
        <v>44196</v>
      </c>
      <c r="I96" s="160">
        <v>937807.8</v>
      </c>
      <c r="J96" s="160">
        <v>941450.5</v>
      </c>
      <c r="K96" s="160">
        <v>1217650.1000000001</v>
      </c>
      <c r="L96" s="160">
        <f>2157753.5-J96</f>
        <v>1216303</v>
      </c>
      <c r="M96" s="160">
        <v>1375587.2</v>
      </c>
      <c r="N96" s="160">
        <f>3539338.7-L96-J96</f>
        <v>1381585.2000000002</v>
      </c>
      <c r="O96" s="160">
        <v>1609369.9</v>
      </c>
      <c r="P96" s="160">
        <f>5119918.6-N96-L96-J96</f>
        <v>1580579.8999999994</v>
      </c>
      <c r="Q96" s="139" t="s">
        <v>548</v>
      </c>
      <c r="R96" s="48"/>
      <c r="S96" s="48"/>
    </row>
    <row r="97" spans="1:19" ht="123" customHeight="1" x14ac:dyDescent="0.25">
      <c r="A97" s="162" t="s">
        <v>279</v>
      </c>
      <c r="B97" s="157" t="s">
        <v>280</v>
      </c>
      <c r="C97" s="165"/>
      <c r="D97" s="164" t="s">
        <v>411</v>
      </c>
      <c r="E97" s="158">
        <v>43922</v>
      </c>
      <c r="F97" s="158">
        <v>44196</v>
      </c>
      <c r="G97" s="158">
        <v>43922</v>
      </c>
      <c r="H97" s="167">
        <v>44196</v>
      </c>
      <c r="I97" s="160">
        <v>0</v>
      </c>
      <c r="J97" s="160">
        <v>0</v>
      </c>
      <c r="K97" s="160">
        <v>305831</v>
      </c>
      <c r="L97" s="160">
        <f>559101.5-J97</f>
        <v>559101.5</v>
      </c>
      <c r="M97" s="160">
        <v>7840759</v>
      </c>
      <c r="N97" s="160">
        <f>(6323614.2+1998888.1)-L97-J97</f>
        <v>7763400.8000000007</v>
      </c>
      <c r="O97" s="160">
        <v>5159915.2</v>
      </c>
      <c r="P97" s="160">
        <f>12898723.6-N97-L97-J97</f>
        <v>4576221.2999999989</v>
      </c>
      <c r="Q97" s="157" t="s">
        <v>547</v>
      </c>
      <c r="R97" s="48"/>
      <c r="S97" s="48"/>
    </row>
    <row r="98" spans="1:19" ht="144" customHeight="1" x14ac:dyDescent="0.25">
      <c r="A98" s="162" t="s">
        <v>43</v>
      </c>
      <c r="B98" s="157" t="s">
        <v>120</v>
      </c>
      <c r="C98" s="165"/>
      <c r="D98" s="164" t="s">
        <v>412</v>
      </c>
      <c r="E98" s="158">
        <v>44013</v>
      </c>
      <c r="F98" s="158">
        <v>44104</v>
      </c>
      <c r="G98" s="158">
        <v>44013</v>
      </c>
      <c r="H98" s="158">
        <v>44104</v>
      </c>
      <c r="I98" s="160">
        <v>0</v>
      </c>
      <c r="J98" s="160">
        <v>0</v>
      </c>
      <c r="K98" s="160">
        <v>0</v>
      </c>
      <c r="L98" s="160">
        <v>0</v>
      </c>
      <c r="M98" s="160">
        <v>17241.400000000001</v>
      </c>
      <c r="N98" s="160">
        <v>17241.400000000001</v>
      </c>
      <c r="O98" s="160">
        <v>0</v>
      </c>
      <c r="P98" s="160">
        <f>17241.4-N98-L98-J98</f>
        <v>0</v>
      </c>
      <c r="Q98" s="157"/>
      <c r="R98" s="48"/>
      <c r="S98" s="48"/>
    </row>
    <row r="99" spans="1:19" ht="142.5" customHeight="1" x14ac:dyDescent="0.25">
      <c r="A99" s="162" t="s">
        <v>45</v>
      </c>
      <c r="B99" s="157" t="s">
        <v>121</v>
      </c>
      <c r="C99" s="165"/>
      <c r="D99" s="164" t="s">
        <v>414</v>
      </c>
      <c r="E99" s="158">
        <v>43839</v>
      </c>
      <c r="F99" s="158">
        <v>44196</v>
      </c>
      <c r="G99" s="158">
        <v>43839</v>
      </c>
      <c r="H99" s="167">
        <v>44196</v>
      </c>
      <c r="I99" s="160">
        <v>14600</v>
      </c>
      <c r="J99" s="160">
        <v>14600</v>
      </c>
      <c r="K99" s="160">
        <v>11400</v>
      </c>
      <c r="L99" s="160">
        <f>26000-J99</f>
        <v>11400</v>
      </c>
      <c r="M99" s="160">
        <v>26400</v>
      </c>
      <c r="N99" s="160">
        <f>53000-L99-J99</f>
        <v>27000</v>
      </c>
      <c r="O99" s="160">
        <v>24841.5</v>
      </c>
      <c r="P99" s="160">
        <f>77200-N99-L99-J99</f>
        <v>24200</v>
      </c>
      <c r="Q99" s="140" t="s">
        <v>546</v>
      </c>
      <c r="R99" s="48"/>
      <c r="S99" s="48"/>
    </row>
    <row r="100" spans="1:19" ht="169.5" customHeight="1" x14ac:dyDescent="0.25">
      <c r="A100" s="162" t="s">
        <v>47</v>
      </c>
      <c r="B100" s="157" t="s">
        <v>243</v>
      </c>
      <c r="C100" s="165"/>
      <c r="D100" s="164" t="s">
        <v>411</v>
      </c>
      <c r="E100" s="158">
        <v>43839</v>
      </c>
      <c r="F100" s="158">
        <v>44196</v>
      </c>
      <c r="G100" s="158">
        <v>43839</v>
      </c>
      <c r="H100" s="167">
        <v>44196</v>
      </c>
      <c r="I100" s="160">
        <v>340316.5</v>
      </c>
      <c r="J100" s="160">
        <v>340340.9</v>
      </c>
      <c r="K100" s="160">
        <v>344529.3</v>
      </c>
      <c r="L100" s="160">
        <f>684961-J100</f>
        <v>344620.1</v>
      </c>
      <c r="M100" s="160">
        <v>350046.5</v>
      </c>
      <c r="N100" s="160">
        <f>1035448.7-L100-J100</f>
        <v>350487.69999999995</v>
      </c>
      <c r="O100" s="160">
        <v>374801.5</v>
      </c>
      <c r="P100" s="160">
        <f>1393650.2-N100-L100-J100</f>
        <v>358201.5</v>
      </c>
      <c r="Q100" s="135" t="s">
        <v>545</v>
      </c>
      <c r="R100" s="48"/>
      <c r="S100" s="48"/>
    </row>
    <row r="101" spans="1:19" ht="186" customHeight="1" x14ac:dyDescent="0.25">
      <c r="A101" s="162" t="s">
        <v>98</v>
      </c>
      <c r="B101" s="157" t="s">
        <v>123</v>
      </c>
      <c r="C101" s="165"/>
      <c r="D101" s="164" t="s">
        <v>413</v>
      </c>
      <c r="E101" s="158">
        <v>43839</v>
      </c>
      <c r="F101" s="158">
        <v>44196</v>
      </c>
      <c r="G101" s="158">
        <v>43839</v>
      </c>
      <c r="H101" s="167">
        <v>44196</v>
      </c>
      <c r="I101" s="160">
        <v>6354.9</v>
      </c>
      <c r="J101" s="160">
        <v>6390.6</v>
      </c>
      <c r="K101" s="160">
        <v>7876.4</v>
      </c>
      <c r="L101" s="160">
        <f>14303.4-J101</f>
        <v>7912.7999999999993</v>
      </c>
      <c r="M101" s="160">
        <v>8362.5</v>
      </c>
      <c r="N101" s="160">
        <f>22683.8-L101-J101</f>
        <v>8380.4</v>
      </c>
      <c r="O101" s="160">
        <v>14582.1</v>
      </c>
      <c r="P101" s="160">
        <f>36489.7-N101-L101-J101</f>
        <v>13805.899999999996</v>
      </c>
      <c r="Q101" s="135" t="s">
        <v>544</v>
      </c>
      <c r="R101" s="48"/>
      <c r="S101" s="48"/>
    </row>
    <row r="102" spans="1:19" ht="159" customHeight="1" x14ac:dyDescent="0.25">
      <c r="A102" s="162" t="s">
        <v>102</v>
      </c>
      <c r="B102" s="157" t="s">
        <v>244</v>
      </c>
      <c r="C102" s="165"/>
      <c r="D102" s="164" t="s">
        <v>415</v>
      </c>
      <c r="E102" s="158">
        <v>43839</v>
      </c>
      <c r="F102" s="158">
        <v>44196</v>
      </c>
      <c r="G102" s="158">
        <v>43839</v>
      </c>
      <c r="H102" s="167">
        <v>44196</v>
      </c>
      <c r="I102" s="160">
        <v>97750.2</v>
      </c>
      <c r="J102" s="160">
        <v>100666.9</v>
      </c>
      <c r="K102" s="160">
        <v>90104.1</v>
      </c>
      <c r="L102" s="160">
        <f>190051.7-J102</f>
        <v>89384.800000000017</v>
      </c>
      <c r="M102" s="160">
        <v>139020.9</v>
      </c>
      <c r="N102" s="160">
        <f>329859.6-L102-J102</f>
        <v>139807.89999999997</v>
      </c>
      <c r="O102" s="160">
        <v>197016.5</v>
      </c>
      <c r="P102" s="160">
        <f>515664.8-N102-L102-J102</f>
        <v>185805.19999999998</v>
      </c>
      <c r="Q102" s="135" t="s">
        <v>543</v>
      </c>
      <c r="R102" s="48"/>
      <c r="S102" s="48"/>
    </row>
    <row r="103" spans="1:19" ht="81" customHeight="1" x14ac:dyDescent="0.25">
      <c r="A103" s="162" t="s">
        <v>104</v>
      </c>
      <c r="B103" s="157" t="s">
        <v>245</v>
      </c>
      <c r="C103" s="165"/>
      <c r="D103" s="164" t="s">
        <v>310</v>
      </c>
      <c r="E103" s="158">
        <v>43922</v>
      </c>
      <c r="F103" s="158">
        <v>44012</v>
      </c>
      <c r="G103" s="158">
        <v>43922</v>
      </c>
      <c r="H103" s="158">
        <v>44012</v>
      </c>
      <c r="I103" s="160">
        <v>0</v>
      </c>
      <c r="J103" s="160">
        <v>0</v>
      </c>
      <c r="K103" s="160">
        <v>203.5</v>
      </c>
      <c r="L103" s="160">
        <v>203.5</v>
      </c>
      <c r="M103" s="160">
        <v>0</v>
      </c>
      <c r="N103" s="160">
        <v>0</v>
      </c>
      <c r="O103" s="160">
        <v>0</v>
      </c>
      <c r="P103" s="160">
        <v>0</v>
      </c>
      <c r="Q103" s="157"/>
      <c r="R103" s="48"/>
      <c r="S103" s="48"/>
    </row>
    <row r="104" spans="1:19" ht="408.75" customHeight="1" x14ac:dyDescent="0.25">
      <c r="A104" s="300" t="s">
        <v>48</v>
      </c>
      <c r="B104" s="297" t="s">
        <v>366</v>
      </c>
      <c r="C104" s="301"/>
      <c r="D104" s="302" t="s">
        <v>416</v>
      </c>
      <c r="E104" s="299">
        <v>43839</v>
      </c>
      <c r="F104" s="299">
        <v>44196</v>
      </c>
      <c r="G104" s="299">
        <v>43839</v>
      </c>
      <c r="H104" s="299">
        <v>44196</v>
      </c>
      <c r="I104" s="298">
        <v>458504.1</v>
      </c>
      <c r="J104" s="298">
        <v>481461.6</v>
      </c>
      <c r="K104" s="298">
        <v>448776.5</v>
      </c>
      <c r="L104" s="298">
        <f>957773-J104</f>
        <v>476311.4</v>
      </c>
      <c r="M104" s="298">
        <v>481813.6</v>
      </c>
      <c r="N104" s="298">
        <f>1431487.3-L104-J104</f>
        <v>473714.30000000005</v>
      </c>
      <c r="O104" s="298">
        <v>563838.80000000005</v>
      </c>
      <c r="P104" s="298">
        <f>1912146-N104-L104-J104</f>
        <v>480658.69999999995</v>
      </c>
      <c r="Q104" s="135" t="s">
        <v>542</v>
      </c>
      <c r="R104" s="48"/>
      <c r="S104" s="48"/>
    </row>
    <row r="105" spans="1:19" ht="82.5" customHeight="1" x14ac:dyDescent="0.25">
      <c r="A105" s="300"/>
      <c r="B105" s="297"/>
      <c r="C105" s="301"/>
      <c r="D105" s="302"/>
      <c r="E105" s="308"/>
      <c r="F105" s="308"/>
      <c r="G105" s="299"/>
      <c r="H105" s="308"/>
      <c r="I105" s="298"/>
      <c r="J105" s="298"/>
      <c r="K105" s="298"/>
      <c r="L105" s="298"/>
      <c r="M105" s="298"/>
      <c r="N105" s="298"/>
      <c r="O105" s="298"/>
      <c r="P105" s="298"/>
      <c r="Q105" s="135"/>
      <c r="R105" s="48"/>
      <c r="S105" s="48"/>
    </row>
    <row r="106" spans="1:19" ht="213" customHeight="1" x14ac:dyDescent="0.25">
      <c r="A106" s="300" t="s">
        <v>49</v>
      </c>
      <c r="B106" s="297" t="s">
        <v>329</v>
      </c>
      <c r="C106" s="301"/>
      <c r="D106" s="302" t="s">
        <v>417</v>
      </c>
      <c r="E106" s="299">
        <v>43839</v>
      </c>
      <c r="F106" s="299">
        <v>44196</v>
      </c>
      <c r="G106" s="299">
        <v>43839</v>
      </c>
      <c r="H106" s="299">
        <v>44196</v>
      </c>
      <c r="I106" s="298">
        <v>326201.3</v>
      </c>
      <c r="J106" s="298">
        <v>346837.4</v>
      </c>
      <c r="K106" s="298">
        <v>396443.5</v>
      </c>
      <c r="L106" s="298">
        <f>753965.5-J106</f>
        <v>407128.1</v>
      </c>
      <c r="M106" s="298">
        <v>401497.3</v>
      </c>
      <c r="N106" s="298">
        <f>1138538.1-L106-J106</f>
        <v>384572.60000000009</v>
      </c>
      <c r="O106" s="298">
        <v>548217.30000000005</v>
      </c>
      <c r="P106" s="298">
        <f>1599842.1-N106-L106-J106</f>
        <v>461304</v>
      </c>
      <c r="Q106" s="135" t="s">
        <v>542</v>
      </c>
      <c r="R106" s="48"/>
      <c r="S106" s="48"/>
    </row>
    <row r="107" spans="1:19" ht="199.5" customHeight="1" x14ac:dyDescent="0.25">
      <c r="A107" s="300"/>
      <c r="B107" s="297"/>
      <c r="C107" s="301"/>
      <c r="D107" s="302"/>
      <c r="E107" s="299"/>
      <c r="F107" s="299"/>
      <c r="G107" s="299"/>
      <c r="H107" s="299"/>
      <c r="I107" s="298"/>
      <c r="J107" s="298"/>
      <c r="K107" s="298"/>
      <c r="L107" s="298"/>
      <c r="M107" s="298"/>
      <c r="N107" s="298"/>
      <c r="O107" s="298"/>
      <c r="P107" s="298"/>
      <c r="Q107" s="135"/>
      <c r="R107" s="48"/>
      <c r="S107" s="48"/>
    </row>
    <row r="108" spans="1:19" ht="408.75" customHeight="1" x14ac:dyDescent="0.25">
      <c r="A108" s="300" t="s">
        <v>126</v>
      </c>
      <c r="B108" s="297" t="s">
        <v>246</v>
      </c>
      <c r="C108" s="301"/>
      <c r="D108" s="302" t="s">
        <v>417</v>
      </c>
      <c r="E108" s="299">
        <v>43839</v>
      </c>
      <c r="F108" s="299">
        <v>44196</v>
      </c>
      <c r="G108" s="299">
        <v>43839</v>
      </c>
      <c r="H108" s="299">
        <v>44196</v>
      </c>
      <c r="I108" s="298">
        <v>2025.4</v>
      </c>
      <c r="J108" s="298">
        <v>2066.9</v>
      </c>
      <c r="K108" s="298">
        <v>2114.1999999999998</v>
      </c>
      <c r="L108" s="298">
        <f>4418.3-J108</f>
        <v>2351.4</v>
      </c>
      <c r="M108" s="298">
        <v>2388.1</v>
      </c>
      <c r="N108" s="298">
        <f>6782-L108-J108</f>
        <v>2363.7000000000003</v>
      </c>
      <c r="O108" s="298">
        <v>5824.3</v>
      </c>
      <c r="P108" s="298">
        <f>9204.6-N108-L108-J108</f>
        <v>2422.6</v>
      </c>
      <c r="Q108" s="135" t="s">
        <v>541</v>
      </c>
      <c r="R108" s="48"/>
      <c r="S108" s="48"/>
    </row>
    <row r="109" spans="1:19" ht="24" customHeight="1" x14ac:dyDescent="0.25">
      <c r="A109" s="300"/>
      <c r="B109" s="297"/>
      <c r="C109" s="301"/>
      <c r="D109" s="302"/>
      <c r="E109" s="308"/>
      <c r="F109" s="308"/>
      <c r="G109" s="299"/>
      <c r="H109" s="308"/>
      <c r="I109" s="298"/>
      <c r="J109" s="298"/>
      <c r="K109" s="298"/>
      <c r="L109" s="298"/>
      <c r="M109" s="298"/>
      <c r="N109" s="298"/>
      <c r="O109" s="298"/>
      <c r="P109" s="298"/>
      <c r="Q109" s="135"/>
      <c r="R109" s="48"/>
      <c r="S109" s="48"/>
    </row>
    <row r="110" spans="1:19" ht="409.5" x14ac:dyDescent="0.25">
      <c r="A110" s="162" t="s">
        <v>127</v>
      </c>
      <c r="B110" s="164" t="s">
        <v>257</v>
      </c>
      <c r="C110" s="164"/>
      <c r="D110" s="164" t="s">
        <v>417</v>
      </c>
      <c r="E110" s="158">
        <v>43839</v>
      </c>
      <c r="F110" s="158">
        <v>44196</v>
      </c>
      <c r="G110" s="158">
        <v>43839</v>
      </c>
      <c r="H110" s="167">
        <v>44196</v>
      </c>
      <c r="I110" s="160">
        <v>2077.5</v>
      </c>
      <c r="J110" s="160">
        <v>2134.5</v>
      </c>
      <c r="K110" s="160">
        <v>2776.6</v>
      </c>
      <c r="L110" s="160">
        <f>4938.2-J110</f>
        <v>2803.7</v>
      </c>
      <c r="M110" s="160">
        <v>2806.3</v>
      </c>
      <c r="N110" s="160">
        <f>7753.1-L110-J110</f>
        <v>2814.9000000000005</v>
      </c>
      <c r="O110" s="160">
        <v>7069.8</v>
      </c>
      <c r="P110" s="160">
        <f>10686.7-N110-L110-J110</f>
        <v>2933.6000000000004</v>
      </c>
      <c r="Q110" s="135" t="s">
        <v>540</v>
      </c>
      <c r="R110" s="48"/>
      <c r="S110" s="48"/>
    </row>
    <row r="111" spans="1:19" ht="408.75" customHeight="1" x14ac:dyDescent="0.25">
      <c r="A111" s="162" t="s">
        <v>128</v>
      </c>
      <c r="B111" s="157" t="s">
        <v>247</v>
      </c>
      <c r="C111" s="165"/>
      <c r="D111" s="164" t="s">
        <v>417</v>
      </c>
      <c r="E111" s="158">
        <v>43839</v>
      </c>
      <c r="F111" s="158">
        <v>44196</v>
      </c>
      <c r="G111" s="158">
        <v>43839</v>
      </c>
      <c r="H111" s="167">
        <v>44196</v>
      </c>
      <c r="I111" s="160">
        <v>64699.3</v>
      </c>
      <c r="J111" s="160">
        <v>69173.899999999994</v>
      </c>
      <c r="K111" s="160">
        <v>83844.899999999994</v>
      </c>
      <c r="L111" s="160">
        <f>154938.3-J111</f>
        <v>85764.4</v>
      </c>
      <c r="M111" s="160">
        <v>88772.6</v>
      </c>
      <c r="N111" s="160">
        <f>241991.6-L111-J111</f>
        <v>87053.300000000017</v>
      </c>
      <c r="O111" s="160">
        <v>152498.1</v>
      </c>
      <c r="P111" s="160">
        <f>377149.6-N111-L111-J111</f>
        <v>135157.99999999994</v>
      </c>
      <c r="Q111" s="140" t="s">
        <v>445</v>
      </c>
      <c r="R111" s="48"/>
      <c r="S111" s="48"/>
    </row>
    <row r="112" spans="1:19" ht="291" customHeight="1" x14ac:dyDescent="0.25">
      <c r="A112" s="162" t="s">
        <v>129</v>
      </c>
      <c r="B112" s="164" t="s">
        <v>322</v>
      </c>
      <c r="C112" s="164"/>
      <c r="D112" s="164" t="s">
        <v>399</v>
      </c>
      <c r="E112" s="158">
        <v>43839</v>
      </c>
      <c r="F112" s="158">
        <v>44196</v>
      </c>
      <c r="G112" s="158">
        <v>43839</v>
      </c>
      <c r="H112" s="167">
        <v>44196</v>
      </c>
      <c r="I112" s="160">
        <v>5273.8</v>
      </c>
      <c r="J112" s="160">
        <v>5569.5</v>
      </c>
      <c r="K112" s="160">
        <v>5726.4</v>
      </c>
      <c r="L112" s="160">
        <f>11349.8-J112</f>
        <v>5780.2999999999993</v>
      </c>
      <c r="M112" s="160">
        <v>6338.6</v>
      </c>
      <c r="N112" s="160">
        <f>17632.9-L112-J112</f>
        <v>6283.1000000000022</v>
      </c>
      <c r="O112" s="160">
        <v>10856.4</v>
      </c>
      <c r="P112" s="160">
        <f>27110-N112-L112-J112</f>
        <v>9477.0999999999985</v>
      </c>
      <c r="Q112" s="140" t="s">
        <v>539</v>
      </c>
      <c r="R112" s="48"/>
      <c r="S112" s="48"/>
    </row>
    <row r="113" spans="1:19" ht="312.75" customHeight="1" x14ac:dyDescent="0.25">
      <c r="A113" s="300" t="s">
        <v>130</v>
      </c>
      <c r="B113" s="297" t="s">
        <v>248</v>
      </c>
      <c r="C113" s="301"/>
      <c r="D113" s="302" t="s">
        <v>418</v>
      </c>
      <c r="E113" s="299">
        <v>43839</v>
      </c>
      <c r="F113" s="299">
        <v>44196</v>
      </c>
      <c r="G113" s="299">
        <v>43839</v>
      </c>
      <c r="H113" s="299">
        <v>44196</v>
      </c>
      <c r="I113" s="298">
        <v>32701.9</v>
      </c>
      <c r="J113" s="298">
        <v>34531.4</v>
      </c>
      <c r="K113" s="298">
        <v>39119.199999999997</v>
      </c>
      <c r="L113" s="298">
        <f>75070.3-J113</f>
        <v>40538.9</v>
      </c>
      <c r="M113" s="298">
        <v>42308.7</v>
      </c>
      <c r="N113" s="298">
        <f>116845.2-L113-J113</f>
        <v>41774.899999999987</v>
      </c>
      <c r="O113" s="298">
        <v>69144.2</v>
      </c>
      <c r="P113" s="298">
        <f>175750.1-N113-L113-J113</f>
        <v>58904.900000000016</v>
      </c>
      <c r="Q113" s="297" t="s">
        <v>538</v>
      </c>
      <c r="R113" s="48"/>
      <c r="S113" s="48"/>
    </row>
    <row r="114" spans="1:19" ht="15.75" hidden="1" x14ac:dyDescent="0.25">
      <c r="A114" s="300"/>
      <c r="B114" s="297"/>
      <c r="C114" s="301"/>
      <c r="D114" s="302"/>
      <c r="E114" s="315"/>
      <c r="F114" s="308"/>
      <c r="G114" s="299"/>
      <c r="H114" s="308"/>
      <c r="I114" s="298"/>
      <c r="J114" s="298"/>
      <c r="K114" s="298"/>
      <c r="L114" s="298"/>
      <c r="M114" s="298"/>
      <c r="N114" s="298"/>
      <c r="O114" s="298"/>
      <c r="P114" s="298"/>
      <c r="Q114" s="297"/>
      <c r="R114" s="48"/>
      <c r="S114" s="48"/>
    </row>
    <row r="115" spans="1:19" ht="368.25" customHeight="1" x14ac:dyDescent="0.25">
      <c r="A115" s="162" t="s">
        <v>131</v>
      </c>
      <c r="B115" s="157" t="s">
        <v>378</v>
      </c>
      <c r="C115" s="165"/>
      <c r="D115" s="164" t="s">
        <v>419</v>
      </c>
      <c r="E115" s="158">
        <v>43839</v>
      </c>
      <c r="F115" s="158">
        <v>44196</v>
      </c>
      <c r="G115" s="158">
        <v>43839</v>
      </c>
      <c r="H115" s="167">
        <v>44196</v>
      </c>
      <c r="I115" s="160">
        <v>25.4</v>
      </c>
      <c r="J115" s="160">
        <v>25.4</v>
      </c>
      <c r="K115" s="160">
        <v>105.9</v>
      </c>
      <c r="L115" s="160">
        <f>131.3-J115</f>
        <v>105.9</v>
      </c>
      <c r="M115" s="160">
        <v>43.6</v>
      </c>
      <c r="N115" s="160">
        <f>174.9-L115-J115</f>
        <v>43.6</v>
      </c>
      <c r="O115" s="160">
        <v>730.3</v>
      </c>
      <c r="P115" s="160">
        <f>209.3-N115-L115-J115</f>
        <v>34.400000000000013</v>
      </c>
      <c r="Q115" s="157" t="s">
        <v>537</v>
      </c>
      <c r="R115" s="48"/>
      <c r="S115" s="48"/>
    </row>
    <row r="116" spans="1:19" ht="237.75" customHeight="1" x14ac:dyDescent="0.25">
      <c r="A116" s="300" t="s">
        <v>58</v>
      </c>
      <c r="B116" s="297" t="s">
        <v>249</v>
      </c>
      <c r="C116" s="320"/>
      <c r="D116" s="321" t="s">
        <v>399</v>
      </c>
      <c r="E116" s="299">
        <v>43839</v>
      </c>
      <c r="F116" s="299">
        <v>44196</v>
      </c>
      <c r="G116" s="299">
        <v>43839</v>
      </c>
      <c r="H116" s="299">
        <v>44196</v>
      </c>
      <c r="I116" s="298">
        <v>175</v>
      </c>
      <c r="J116" s="298">
        <v>175</v>
      </c>
      <c r="K116" s="298">
        <v>636.20000000000005</v>
      </c>
      <c r="L116" s="298">
        <f>1529.9-J116</f>
        <v>1354.9</v>
      </c>
      <c r="M116" s="298">
        <v>1824.8</v>
      </c>
      <c r="N116" s="298">
        <f>2636-L116-J116</f>
        <v>1106.0999999999999</v>
      </c>
      <c r="O116" s="298">
        <v>10397.4</v>
      </c>
      <c r="P116" s="298">
        <f>4880.7-N116-L116-J116</f>
        <v>2244.6999999999998</v>
      </c>
      <c r="Q116" s="297" t="s">
        <v>536</v>
      </c>
      <c r="R116" s="48"/>
      <c r="S116" s="48"/>
    </row>
    <row r="117" spans="1:19" ht="116.25" customHeight="1" x14ac:dyDescent="0.25">
      <c r="A117" s="300"/>
      <c r="B117" s="297"/>
      <c r="C117" s="320"/>
      <c r="D117" s="321"/>
      <c r="E117" s="308"/>
      <c r="F117" s="308"/>
      <c r="G117" s="299"/>
      <c r="H117" s="308"/>
      <c r="I117" s="298"/>
      <c r="J117" s="298"/>
      <c r="K117" s="298"/>
      <c r="L117" s="298"/>
      <c r="M117" s="298"/>
      <c r="N117" s="298"/>
      <c r="O117" s="298"/>
      <c r="P117" s="298"/>
      <c r="Q117" s="297"/>
      <c r="R117" s="48"/>
      <c r="S117" s="48"/>
    </row>
    <row r="118" spans="1:19" ht="15.75" hidden="1" x14ac:dyDescent="0.25">
      <c r="A118" s="300"/>
      <c r="B118" s="297"/>
      <c r="C118" s="320"/>
      <c r="D118" s="321"/>
      <c r="E118" s="308"/>
      <c r="F118" s="308"/>
      <c r="G118" s="299"/>
      <c r="H118" s="308"/>
      <c r="I118" s="298"/>
      <c r="J118" s="298"/>
      <c r="K118" s="298"/>
      <c r="L118" s="298"/>
      <c r="M118" s="298"/>
      <c r="N118" s="298"/>
      <c r="O118" s="298"/>
      <c r="P118" s="298"/>
      <c r="Q118" s="297"/>
      <c r="R118" s="48"/>
      <c r="S118" s="48"/>
    </row>
    <row r="119" spans="1:19" ht="141" customHeight="1" x14ac:dyDescent="0.25">
      <c r="A119" s="162"/>
      <c r="B119" s="157" t="s">
        <v>250</v>
      </c>
      <c r="C119" s="165" t="s">
        <v>23</v>
      </c>
      <c r="D119" s="164" t="s">
        <v>420</v>
      </c>
      <c r="E119" s="159" t="s">
        <v>23</v>
      </c>
      <c r="F119" s="158">
        <v>44196</v>
      </c>
      <c r="G119" s="159" t="s">
        <v>23</v>
      </c>
      <c r="H119" s="167">
        <v>44196</v>
      </c>
      <c r="I119" s="160" t="s">
        <v>23</v>
      </c>
      <c r="J119" s="160" t="s">
        <v>23</v>
      </c>
      <c r="K119" s="160" t="s">
        <v>23</v>
      </c>
      <c r="L119" s="160" t="s">
        <v>23</v>
      </c>
      <c r="M119" s="160" t="s">
        <v>23</v>
      </c>
      <c r="N119" s="160" t="s">
        <v>23</v>
      </c>
      <c r="O119" s="160" t="s">
        <v>23</v>
      </c>
      <c r="P119" s="160" t="s">
        <v>23</v>
      </c>
      <c r="Q119" s="163"/>
      <c r="R119" s="48"/>
      <c r="S119" s="48"/>
    </row>
    <row r="120" spans="1:19" ht="250.5" customHeight="1" x14ac:dyDescent="0.25">
      <c r="A120" s="300"/>
      <c r="B120" s="297" t="s">
        <v>251</v>
      </c>
      <c r="C120" s="301" t="s">
        <v>23</v>
      </c>
      <c r="D120" s="302" t="s">
        <v>367</v>
      </c>
      <c r="E120" s="308" t="s">
        <v>23</v>
      </c>
      <c r="F120" s="299">
        <v>44196</v>
      </c>
      <c r="G120" s="308" t="s">
        <v>23</v>
      </c>
      <c r="H120" s="299">
        <v>44196</v>
      </c>
      <c r="I120" s="298" t="s">
        <v>23</v>
      </c>
      <c r="J120" s="298" t="s">
        <v>23</v>
      </c>
      <c r="K120" s="298" t="s">
        <v>23</v>
      </c>
      <c r="L120" s="298" t="s">
        <v>23</v>
      </c>
      <c r="M120" s="298" t="s">
        <v>23</v>
      </c>
      <c r="N120" s="298" t="s">
        <v>23</v>
      </c>
      <c r="O120" s="298" t="s">
        <v>23</v>
      </c>
      <c r="P120" s="298" t="s">
        <v>23</v>
      </c>
      <c r="Q120" s="320"/>
      <c r="R120" s="48"/>
      <c r="S120" s="48"/>
    </row>
    <row r="121" spans="1:19" ht="175.5" customHeight="1" x14ac:dyDescent="0.25">
      <c r="A121" s="300"/>
      <c r="B121" s="297"/>
      <c r="C121" s="301"/>
      <c r="D121" s="302"/>
      <c r="E121" s="308"/>
      <c r="F121" s="299"/>
      <c r="G121" s="308"/>
      <c r="H121" s="299"/>
      <c r="I121" s="298"/>
      <c r="J121" s="298"/>
      <c r="K121" s="298"/>
      <c r="L121" s="298"/>
      <c r="M121" s="298"/>
      <c r="N121" s="298"/>
      <c r="O121" s="298"/>
      <c r="P121" s="298"/>
      <c r="Q121" s="320"/>
      <c r="R121" s="48"/>
      <c r="S121" s="48"/>
    </row>
    <row r="122" spans="1:19" ht="20.25" x14ac:dyDescent="0.3">
      <c r="A122" s="69"/>
      <c r="B122" s="317" t="s">
        <v>252</v>
      </c>
      <c r="C122" s="317"/>
      <c r="D122" s="317"/>
      <c r="E122" s="317"/>
      <c r="F122" s="317"/>
      <c r="G122" s="317"/>
      <c r="H122" s="317"/>
      <c r="I122" s="91">
        <f>I10+I12+I54+I75</f>
        <v>11855805</v>
      </c>
      <c r="J122" s="91">
        <f t="shared" ref="J122:P122" si="4">J12+J54+J75+J11</f>
        <v>11966162.500000002</v>
      </c>
      <c r="K122" s="91">
        <f t="shared" si="4"/>
        <v>12374163.100000001</v>
      </c>
      <c r="L122" s="91">
        <f t="shared" si="4"/>
        <v>13703683.200000001</v>
      </c>
      <c r="M122" s="91">
        <f t="shared" si="4"/>
        <v>20080281.099999998</v>
      </c>
      <c r="N122" s="91">
        <f t="shared" si="4"/>
        <v>19026496.100000001</v>
      </c>
      <c r="O122" s="91">
        <f t="shared" si="4"/>
        <v>20585624</v>
      </c>
      <c r="P122" s="91">
        <f t="shared" si="4"/>
        <v>18807676</v>
      </c>
      <c r="Q122" s="157"/>
      <c r="R122" s="48"/>
      <c r="S122" s="48"/>
    </row>
    <row r="123" spans="1:19" s="128" customFormat="1" ht="116.25" customHeight="1" x14ac:dyDescent="0.25">
      <c r="A123" s="324" t="s">
        <v>467</v>
      </c>
      <c r="B123" s="324"/>
      <c r="C123" s="324"/>
      <c r="D123" s="324"/>
      <c r="E123" s="324"/>
      <c r="F123" s="324"/>
      <c r="G123" s="324"/>
      <c r="H123" s="324"/>
      <c r="I123" s="324"/>
      <c r="J123" s="324"/>
      <c r="K123" s="324"/>
      <c r="L123" s="324"/>
      <c r="M123" s="324"/>
      <c r="N123" s="324"/>
      <c r="O123" s="324"/>
      <c r="P123" s="324"/>
      <c r="Q123" s="324"/>
      <c r="R123" s="48"/>
      <c r="S123" s="48"/>
    </row>
    <row r="124" spans="1:19" s="128" customFormat="1" ht="30.75" customHeight="1" x14ac:dyDescent="0.25">
      <c r="A124" s="319"/>
      <c r="B124" s="319"/>
      <c r="C124" s="319"/>
      <c r="D124" s="319"/>
      <c r="E124" s="319"/>
      <c r="F124" s="319"/>
      <c r="G124" s="319"/>
      <c r="H124" s="319"/>
      <c r="I124" s="319"/>
      <c r="J124" s="319"/>
      <c r="K124" s="319"/>
      <c r="L124" s="319"/>
      <c r="M124" s="319"/>
      <c r="N124" s="319"/>
      <c r="O124" s="319"/>
      <c r="P124" s="319"/>
      <c r="Q124" s="319"/>
      <c r="R124" s="48"/>
      <c r="S124" s="48"/>
    </row>
    <row r="125" spans="1:19" s="128" customFormat="1" ht="23.25" x14ac:dyDescent="0.35">
      <c r="A125" s="318" t="s">
        <v>520</v>
      </c>
      <c r="B125" s="318"/>
      <c r="C125" s="318"/>
      <c r="D125" s="318"/>
      <c r="E125" s="70"/>
      <c r="F125" s="70"/>
      <c r="G125" s="70"/>
      <c r="H125" s="169"/>
      <c r="I125" s="71"/>
      <c r="J125" s="71"/>
      <c r="K125" s="71"/>
      <c r="L125" s="71"/>
      <c r="M125" s="71"/>
      <c r="N125" s="71"/>
      <c r="O125" s="71"/>
      <c r="P125" s="71"/>
      <c r="Q125" s="67"/>
      <c r="R125" s="48"/>
      <c r="S125" s="48"/>
    </row>
    <row r="126" spans="1:19" s="128" customFormat="1" ht="27.75" x14ac:dyDescent="0.4">
      <c r="A126" s="318"/>
      <c r="B126" s="318"/>
      <c r="C126" s="318"/>
      <c r="D126" s="318"/>
      <c r="E126" s="53"/>
      <c r="F126" s="53"/>
      <c r="G126" s="53"/>
      <c r="H126" s="166"/>
      <c r="I126" s="72"/>
      <c r="J126" s="72"/>
      <c r="K126" s="72"/>
      <c r="L126" s="72"/>
      <c r="M126" s="72"/>
      <c r="N126" s="72"/>
      <c r="O126" s="72"/>
      <c r="P126" s="72"/>
      <c r="Q126" s="153" t="s">
        <v>476</v>
      </c>
      <c r="R126" s="48"/>
      <c r="S126" s="48"/>
    </row>
    <row r="127" spans="1:19" x14ac:dyDescent="0.3">
      <c r="A127" s="53"/>
      <c r="B127" s="53"/>
      <c r="C127" s="53"/>
      <c r="D127" s="52"/>
      <c r="E127" s="53"/>
      <c r="F127" s="53"/>
      <c r="G127" s="53"/>
      <c r="H127" s="166"/>
      <c r="I127" s="72"/>
      <c r="J127" s="72"/>
      <c r="K127" s="72"/>
      <c r="L127" s="72"/>
      <c r="M127" s="72"/>
      <c r="N127" s="72"/>
      <c r="O127" s="72"/>
      <c r="P127" s="72"/>
      <c r="Q127" s="53"/>
      <c r="R127" s="48"/>
      <c r="S127" s="48"/>
    </row>
    <row r="128" spans="1:19" x14ac:dyDescent="0.3">
      <c r="A128" s="126"/>
      <c r="B128" s="73"/>
      <c r="C128" s="61"/>
      <c r="D128" s="117"/>
      <c r="E128" s="61"/>
      <c r="F128" s="61"/>
      <c r="G128" s="61"/>
      <c r="H128" s="170"/>
      <c r="I128" s="72"/>
      <c r="J128" s="72"/>
      <c r="K128" s="72"/>
      <c r="L128" s="72"/>
      <c r="M128" s="72"/>
      <c r="N128" s="72"/>
      <c r="O128" s="72"/>
      <c r="P128" s="72"/>
      <c r="Q128" s="67"/>
      <c r="R128" s="48"/>
      <c r="S128" s="48"/>
    </row>
    <row r="132" spans="1:14" x14ac:dyDescent="0.3">
      <c r="A132" s="316" t="s">
        <v>421</v>
      </c>
      <c r="B132" s="316"/>
      <c r="N132" s="56"/>
    </row>
    <row r="133" spans="1:14" x14ac:dyDescent="0.3">
      <c r="A133" s="316"/>
      <c r="B133" s="316"/>
      <c r="N133" s="56"/>
    </row>
    <row r="134" spans="1:14" x14ac:dyDescent="0.3">
      <c r="A134" s="316"/>
      <c r="B134" s="316"/>
      <c r="N134" s="56"/>
    </row>
    <row r="135" spans="1:14" x14ac:dyDescent="0.3">
      <c r="A135" s="316"/>
      <c r="B135" s="316"/>
    </row>
    <row r="148" ht="15" customHeight="1" x14ac:dyDescent="0.3"/>
    <row r="149" ht="15" customHeight="1" x14ac:dyDescent="0.3"/>
  </sheetData>
  <protectedRanges>
    <protectedRange sqref="N1:N9 N11 N76:N81 N13:N53 N56:N74 N83:N128" name="Диапазон1"/>
  </protectedRanges>
  <autoFilter ref="A9:Q126"/>
  <customSheetViews>
    <customSheetView guid="{DAA129B7-49F7-47F4-BBAF-F3BC13A03360}" scale="55" showPageBreaks="1" fitToPage="1" printArea="1" showAutoFilter="1" hiddenRows="1" view="pageBreakPreview" topLeftCell="A7">
      <pane xSplit="1" topLeftCell="B1" activePane="topRight" state="frozen"/>
      <selection pane="topRight" activeCell="E11" sqref="E11"/>
      <colBreaks count="1" manualBreakCount="1">
        <brk id="17" max="1048575" man="1"/>
      </colBreaks>
      <pageMargins left="0.70866141732283472" right="0.70866141732283472" top="0.74803149606299213" bottom="0.74803149606299213" header="0.31496062992125984" footer="0.31496062992125984"/>
      <pageSetup paperSize="9" scale="35" fitToHeight="0" orientation="landscape" r:id="rId1"/>
      <autoFilter ref="A9:Q126"/>
    </customSheetView>
    <customSheetView guid="{9C37FF47-DD3C-484B-9633-D678A759C142}" scale="55" showPageBreaks="1" fitToPage="1" printArea="1" showAutoFilter="1" hiddenRows="1" view="pageBreakPreview" topLeftCell="A53">
      <pane xSplit="1" topLeftCell="B1" activePane="topRight" state="frozen"/>
      <selection pane="topRight" activeCell="J54" activeCellId="3" sqref="P54 N54 L54 J54"/>
      <rowBreaks count="1" manualBreakCount="1">
        <brk id="136" max="16" man="1"/>
      </rowBreaks>
      <colBreaks count="1" manualBreakCount="1">
        <brk id="17" max="1048575" man="1"/>
      </colBreaks>
      <pageMargins left="0.70866141732283472" right="0.70866141732283472" top="0.74803149606299213" bottom="0.74803149606299213" header="0.31496062992125984" footer="0.31496062992125984"/>
      <pageSetup paperSize="9" scale="35" fitToHeight="0" orientation="landscape" r:id="rId2"/>
      <autoFilter ref="A9:Q126"/>
    </customSheetView>
  </customSheetViews>
  <mergeCells count="275">
    <mergeCell ref="Q42:Q43"/>
    <mergeCell ref="A123:Q123"/>
    <mergeCell ref="Q116:Q118"/>
    <mergeCell ref="F116:F118"/>
    <mergeCell ref="G116:G118"/>
    <mergeCell ref="H116:H118"/>
    <mergeCell ref="I116:I118"/>
    <mergeCell ref="J116:J118"/>
    <mergeCell ref="K116:K118"/>
    <mergeCell ref="P113:P114"/>
    <mergeCell ref="P116:P118"/>
    <mergeCell ref="I120:I121"/>
    <mergeCell ref="H120:H121"/>
    <mergeCell ref="G120:G121"/>
    <mergeCell ref="F120:F121"/>
    <mergeCell ref="C120:C121"/>
    <mergeCell ref="B120:B121"/>
    <mergeCell ref="Q113:Q114"/>
    <mergeCell ref="F113:F114"/>
    <mergeCell ref="G113:G114"/>
    <mergeCell ref="H113:H114"/>
    <mergeCell ref="I113:I114"/>
    <mergeCell ref="J113:J114"/>
    <mergeCell ref="K113:K114"/>
    <mergeCell ref="A132:B135"/>
    <mergeCell ref="B122:H122"/>
    <mergeCell ref="A125:D126"/>
    <mergeCell ref="A124:Q124"/>
    <mergeCell ref="A116:A118"/>
    <mergeCell ref="B116:B118"/>
    <mergeCell ref="C116:C118"/>
    <mergeCell ref="D116:D118"/>
    <mergeCell ref="E116:E118"/>
    <mergeCell ref="E120:E121"/>
    <mergeCell ref="Q120:Q121"/>
    <mergeCell ref="P120:P121"/>
    <mergeCell ref="O120:O121"/>
    <mergeCell ref="N120:N121"/>
    <mergeCell ref="M120:M121"/>
    <mergeCell ref="L120:L121"/>
    <mergeCell ref="K120:K121"/>
    <mergeCell ref="J120:J121"/>
    <mergeCell ref="D120:D121"/>
    <mergeCell ref="A120:A121"/>
    <mergeCell ref="L116:L118"/>
    <mergeCell ref="M116:M118"/>
    <mergeCell ref="N116:N118"/>
    <mergeCell ref="O116:O118"/>
    <mergeCell ref="A113:A114"/>
    <mergeCell ref="B113:B114"/>
    <mergeCell ref="C113:C114"/>
    <mergeCell ref="D113:D114"/>
    <mergeCell ref="E113:E114"/>
    <mergeCell ref="L113:L114"/>
    <mergeCell ref="M113:M114"/>
    <mergeCell ref="N113:N114"/>
    <mergeCell ref="O113:O114"/>
    <mergeCell ref="L108:L109"/>
    <mergeCell ref="M108:M109"/>
    <mergeCell ref="N108:N109"/>
    <mergeCell ref="O108:O109"/>
    <mergeCell ref="P108:P109"/>
    <mergeCell ref="F108:F109"/>
    <mergeCell ref="G108:G109"/>
    <mergeCell ref="H108:H109"/>
    <mergeCell ref="I108:I109"/>
    <mergeCell ref="J108:J109"/>
    <mergeCell ref="K108:K109"/>
    <mergeCell ref="O104:O105"/>
    <mergeCell ref="P104:P105"/>
    <mergeCell ref="K104:K105"/>
    <mergeCell ref="L104:L105"/>
    <mergeCell ref="A108:A109"/>
    <mergeCell ref="B108:B109"/>
    <mergeCell ref="C108:C109"/>
    <mergeCell ref="D108:D109"/>
    <mergeCell ref="E108:E109"/>
    <mergeCell ref="G104:G105"/>
    <mergeCell ref="H104:H105"/>
    <mergeCell ref="I104:I105"/>
    <mergeCell ref="J104:J105"/>
    <mergeCell ref="A104:A105"/>
    <mergeCell ref="B104:B105"/>
    <mergeCell ref="C104:C105"/>
    <mergeCell ref="D104:D105"/>
    <mergeCell ref="E104:E105"/>
    <mergeCell ref="F104:F105"/>
    <mergeCell ref="A106:A107"/>
    <mergeCell ref="C106:C107"/>
    <mergeCell ref="J106:J107"/>
    <mergeCell ref="I106:I107"/>
    <mergeCell ref="H106:H107"/>
    <mergeCell ref="A94:A95"/>
    <mergeCell ref="B94:B95"/>
    <mergeCell ref="C94:C95"/>
    <mergeCell ref="D94:D95"/>
    <mergeCell ref="E94:E95"/>
    <mergeCell ref="P90:P91"/>
    <mergeCell ref="H90:H91"/>
    <mergeCell ref="I90:I91"/>
    <mergeCell ref="J90:J91"/>
    <mergeCell ref="K90:K91"/>
    <mergeCell ref="L90:L91"/>
    <mergeCell ref="M90:M91"/>
    <mergeCell ref="A90:A91"/>
    <mergeCell ref="B90:B91"/>
    <mergeCell ref="C90:C91"/>
    <mergeCell ref="D90:D91"/>
    <mergeCell ref="E90:E91"/>
    <mergeCell ref="F90:F91"/>
    <mergeCell ref="G90:G91"/>
    <mergeCell ref="L94:L95"/>
    <mergeCell ref="M94:M95"/>
    <mergeCell ref="N94:N95"/>
    <mergeCell ref="Q79:Q80"/>
    <mergeCell ref="B85:B86"/>
    <mergeCell ref="C85:C86"/>
    <mergeCell ref="D85:D86"/>
    <mergeCell ref="E85:E86"/>
    <mergeCell ref="F85:F86"/>
    <mergeCell ref="G85:G86"/>
    <mergeCell ref="H85:H86"/>
    <mergeCell ref="I79:I80"/>
    <mergeCell ref="J79:J80"/>
    <mergeCell ref="K79:K80"/>
    <mergeCell ref="L79:L80"/>
    <mergeCell ref="M79:M80"/>
    <mergeCell ref="N79:N80"/>
    <mergeCell ref="O85:O86"/>
    <mergeCell ref="P85:P86"/>
    <mergeCell ref="Q85:Q86"/>
    <mergeCell ref="K85:K86"/>
    <mergeCell ref="L85:L86"/>
    <mergeCell ref="M85:M86"/>
    <mergeCell ref="J85:J86"/>
    <mergeCell ref="O79:O80"/>
    <mergeCell ref="A79:A80"/>
    <mergeCell ref="B79:B80"/>
    <mergeCell ref="C79:C80"/>
    <mergeCell ref="D79:D80"/>
    <mergeCell ref="E79:E80"/>
    <mergeCell ref="F79:F80"/>
    <mergeCell ref="G79:G80"/>
    <mergeCell ref="H79:H80"/>
    <mergeCell ref="I85:I86"/>
    <mergeCell ref="A85:A86"/>
    <mergeCell ref="Q36:Q37"/>
    <mergeCell ref="F36:F37"/>
    <mergeCell ref="G36:G37"/>
    <mergeCell ref="H36:H37"/>
    <mergeCell ref="I36:I37"/>
    <mergeCell ref="J36:J37"/>
    <mergeCell ref="K36:K37"/>
    <mergeCell ref="Q30:Q31"/>
    <mergeCell ref="L30:L31"/>
    <mergeCell ref="K30:K31"/>
    <mergeCell ref="J30:J31"/>
    <mergeCell ref="I30:I31"/>
    <mergeCell ref="L36:L37"/>
    <mergeCell ref="M36:M37"/>
    <mergeCell ref="H30:H31"/>
    <mergeCell ref="F30:F31"/>
    <mergeCell ref="G30:G31"/>
    <mergeCell ref="P30:P31"/>
    <mergeCell ref="Q24:Q25"/>
    <mergeCell ref="H24:H25"/>
    <mergeCell ref="I24:I25"/>
    <mergeCell ref="J24:J25"/>
    <mergeCell ref="K24:K25"/>
    <mergeCell ref="L24:L25"/>
    <mergeCell ref="M24:M25"/>
    <mergeCell ref="Q6:Q8"/>
    <mergeCell ref="I7:J7"/>
    <mergeCell ref="K7:L7"/>
    <mergeCell ref="M7:N7"/>
    <mergeCell ref="O7:P7"/>
    <mergeCell ref="H6:H8"/>
    <mergeCell ref="I6:P6"/>
    <mergeCell ref="B12:H12"/>
    <mergeCell ref="N24:N25"/>
    <mergeCell ref="O24:O25"/>
    <mergeCell ref="B24:B25"/>
    <mergeCell ref="C24:C25"/>
    <mergeCell ref="D24:D25"/>
    <mergeCell ref="E24:E25"/>
    <mergeCell ref="F24:F25"/>
    <mergeCell ref="G24:G25"/>
    <mergeCell ref="P24:P25"/>
    <mergeCell ref="A30:A31"/>
    <mergeCell ref="B30:B31"/>
    <mergeCell ref="A36:A37"/>
    <mergeCell ref="B36:B37"/>
    <mergeCell ref="C36:C37"/>
    <mergeCell ref="D36:D37"/>
    <mergeCell ref="E36:E37"/>
    <mergeCell ref="A42:A44"/>
    <mergeCell ref="D42:D44"/>
    <mergeCell ref="C42:C44"/>
    <mergeCell ref="B42:B44"/>
    <mergeCell ref="E42:E44"/>
    <mergeCell ref="D106:D107"/>
    <mergeCell ref="C30:C31"/>
    <mergeCell ref="I42:I44"/>
    <mergeCell ref="G42:G44"/>
    <mergeCell ref="F42:F44"/>
    <mergeCell ref="F87:F88"/>
    <mergeCell ref="E87:E88"/>
    <mergeCell ref="D87:D88"/>
    <mergeCell ref="B54:H54"/>
    <mergeCell ref="G106:G107"/>
    <mergeCell ref="F106:F107"/>
    <mergeCell ref="E106:E107"/>
    <mergeCell ref="P42:P44"/>
    <mergeCell ref="O42:O44"/>
    <mergeCell ref="N42:N44"/>
    <mergeCell ref="M42:M44"/>
    <mergeCell ref="L42:L44"/>
    <mergeCell ref="F94:F95"/>
    <mergeCell ref="G94:G95"/>
    <mergeCell ref="H94:H95"/>
    <mergeCell ref="I94:I95"/>
    <mergeCell ref="K42:K44"/>
    <mergeCell ref="J42:J44"/>
    <mergeCell ref="N90:N91"/>
    <mergeCell ref="O90:O91"/>
    <mergeCell ref="P79:P80"/>
    <mergeCell ref="M87:M88"/>
    <mergeCell ref="A87:A88"/>
    <mergeCell ref="C87:C88"/>
    <mergeCell ref="D30:D31"/>
    <mergeCell ref="B1:P1"/>
    <mergeCell ref="B2:P2"/>
    <mergeCell ref="B3:P3"/>
    <mergeCell ref="B4:P4"/>
    <mergeCell ref="N30:N31"/>
    <mergeCell ref="O30:O31"/>
    <mergeCell ref="A24:A25"/>
    <mergeCell ref="A6:A8"/>
    <mergeCell ref="O36:O37"/>
    <mergeCell ref="P36:P37"/>
    <mergeCell ref="N36:N37"/>
    <mergeCell ref="M30:M31"/>
    <mergeCell ref="C6:C8"/>
    <mergeCell ref="B6:B8"/>
    <mergeCell ref="D6:D8"/>
    <mergeCell ref="E6:E8"/>
    <mergeCell ref="F6:F8"/>
    <mergeCell ref="G6:G8"/>
    <mergeCell ref="E30:E31"/>
    <mergeCell ref="N85:N86"/>
    <mergeCell ref="B75:H75"/>
    <mergeCell ref="Q87:Q88"/>
    <mergeCell ref="P87:P88"/>
    <mergeCell ref="O87:O88"/>
    <mergeCell ref="N87:N88"/>
    <mergeCell ref="B87:B88"/>
    <mergeCell ref="B106:B107"/>
    <mergeCell ref="P106:P107"/>
    <mergeCell ref="O106:O107"/>
    <mergeCell ref="N106:N107"/>
    <mergeCell ref="M106:M107"/>
    <mergeCell ref="L106:L107"/>
    <mergeCell ref="K106:K107"/>
    <mergeCell ref="L87:L88"/>
    <mergeCell ref="K87:K88"/>
    <mergeCell ref="J87:J88"/>
    <mergeCell ref="I87:I88"/>
    <mergeCell ref="H87:H88"/>
    <mergeCell ref="G87:G88"/>
    <mergeCell ref="O94:O95"/>
    <mergeCell ref="P94:P95"/>
    <mergeCell ref="J94:J95"/>
    <mergeCell ref="K94:K95"/>
    <mergeCell ref="M104:M105"/>
    <mergeCell ref="N104:N105"/>
  </mergeCells>
  <hyperlinks>
    <hyperlink ref="C6" r:id="rId3" display="consultantplus://offline/ref=296E051552D9B0DE54C4EEA366783458DCF3E2F270B1C5BE0EE0B1036681A6753D4434517D8E791EF555ABSAVCG"/>
  </hyperlinks>
  <pageMargins left="0.70866141732283472" right="0.70866141732283472" top="0.74803149606299213" bottom="0.74803149606299213" header="0.31496062992125984" footer="0.31496062992125984"/>
  <pageSetup paperSize="9" scale="35" fitToHeight="0" orientation="landscape" r:id="rId4"/>
  <rowBreaks count="1" manualBreakCount="1">
    <brk id="1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Финансирование</vt:lpstr>
      <vt:lpstr>Показатели, Критерии</vt:lpstr>
      <vt:lpstr>План реализации</vt:lpstr>
      <vt:lpstr>'План реализации'!Заголовки_для_печати</vt:lpstr>
      <vt:lpstr>'Показатели, Критерии'!Заголовки_для_печати</vt:lpstr>
      <vt:lpstr>Финансирование!Заголовки_для_печати</vt:lpstr>
      <vt:lpstr>'План реализации'!Область_печати</vt:lpstr>
      <vt:lpstr>'Показатели, Критерии'!Область_печати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Габриэлян Владислав Александрович</cp:lastModifiedBy>
  <cp:lastPrinted>2021-04-09T13:29:01Z</cp:lastPrinted>
  <dcterms:created xsi:type="dcterms:W3CDTF">2006-09-16T00:00:00Z</dcterms:created>
  <dcterms:modified xsi:type="dcterms:W3CDTF">2021-04-13T15:16:58Z</dcterms:modified>
</cp:coreProperties>
</file>