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0" windowWidth="12615" windowHeight="10575" activeTab="1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реализации'!$A$10:$AD$128</definedName>
    <definedName name="_xlnm._FilterDatabase" localSheetId="0" hidden="1">Финансирование!$A$11:$AH$76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реализации'!$A$1:$Q$129</definedName>
    <definedName name="_xlnm.Print_Area" localSheetId="1">'Показатели, критерии'!$A$1:$G$69</definedName>
    <definedName name="_xlnm.Print_Area" localSheetId="0">Финансирование!$A$1:$AA$94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S48" i="1" l="1"/>
  <c r="O77" i="3" l="1"/>
  <c r="M77" i="3"/>
  <c r="L77" i="3"/>
  <c r="K77" i="3"/>
  <c r="J77" i="3"/>
  <c r="O76" i="3"/>
  <c r="M76" i="3"/>
  <c r="L76" i="3"/>
  <c r="K76" i="3"/>
  <c r="J76" i="3"/>
  <c r="J75" i="3"/>
  <c r="K75" i="3"/>
  <c r="L75" i="3"/>
  <c r="M75" i="3"/>
  <c r="O75" i="3"/>
  <c r="I75" i="3"/>
  <c r="P109" i="3" l="1"/>
  <c r="P110" i="3"/>
  <c r="S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T13" i="1"/>
  <c r="T72" i="1"/>
  <c r="S72" i="1"/>
  <c r="S12" i="1" s="1"/>
  <c r="R72" i="1"/>
  <c r="R12" i="1" s="1"/>
  <c r="Q72" i="1"/>
  <c r="Q12" i="1" s="1"/>
  <c r="P72" i="1"/>
  <c r="O72" i="1"/>
  <c r="O12" i="1" s="1"/>
  <c r="N72" i="1"/>
  <c r="N12" i="1" s="1"/>
  <c r="M72" i="1"/>
  <c r="M12" i="1" s="1"/>
  <c r="L72" i="1"/>
  <c r="L12" i="1" s="1"/>
  <c r="K72" i="1"/>
  <c r="J72" i="1"/>
  <c r="J12" i="1" s="1"/>
  <c r="I72" i="1"/>
  <c r="I12" i="1" s="1"/>
  <c r="H72" i="1"/>
  <c r="H12" i="1" s="1"/>
  <c r="G72" i="1"/>
  <c r="G12" i="1" s="1"/>
  <c r="F72" i="1"/>
  <c r="F12" i="1" s="1"/>
  <c r="E72" i="1"/>
  <c r="P108" i="3"/>
  <c r="AD15" i="1" l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3" i="1"/>
  <c r="AD74" i="1"/>
  <c r="AD75" i="1"/>
  <c r="AD76" i="1"/>
  <c r="AD77" i="1"/>
  <c r="AD14" i="1"/>
  <c r="AC13" i="1"/>
  <c r="P58" i="3" l="1"/>
  <c r="P88" i="3"/>
  <c r="P87" i="3"/>
  <c r="P86" i="3"/>
  <c r="P85" i="3"/>
  <c r="P84" i="3"/>
  <c r="J83" i="3"/>
  <c r="P83" i="3"/>
  <c r="P82" i="3"/>
  <c r="P81" i="3"/>
  <c r="P59" i="3"/>
  <c r="W81" i="3" l="1"/>
  <c r="X81" i="3" s="1"/>
  <c r="W11" i="3"/>
  <c r="W12" i="3"/>
  <c r="W13" i="3"/>
  <c r="X13" i="3" s="1"/>
  <c r="W14" i="3"/>
  <c r="X14" i="3" s="1"/>
  <c r="W15" i="3"/>
  <c r="X15" i="3" s="1"/>
  <c r="W16" i="3"/>
  <c r="X16" i="3" s="1"/>
  <c r="W17" i="3"/>
  <c r="X17" i="3" s="1"/>
  <c r="W18" i="3"/>
  <c r="X18" i="3" s="1"/>
  <c r="W19" i="3"/>
  <c r="W20" i="3"/>
  <c r="W21" i="3"/>
  <c r="X21" i="3" s="1"/>
  <c r="W22" i="3"/>
  <c r="X22" i="3" s="1"/>
  <c r="W23" i="3"/>
  <c r="X23" i="3" s="1"/>
  <c r="W24" i="3"/>
  <c r="X24" i="3" s="1"/>
  <c r="W25" i="3"/>
  <c r="X25" i="3" s="1"/>
  <c r="W28" i="3"/>
  <c r="W29" i="3"/>
  <c r="X29" i="3" s="1"/>
  <c r="W30" i="3"/>
  <c r="X30" i="3" s="1"/>
  <c r="W31" i="3"/>
  <c r="W32" i="3"/>
  <c r="X32" i="3" s="1"/>
  <c r="W33" i="3"/>
  <c r="X33" i="3" s="1"/>
  <c r="W34" i="3"/>
  <c r="W35" i="3"/>
  <c r="X35" i="3" s="1"/>
  <c r="W36" i="3"/>
  <c r="X36" i="3" s="1"/>
  <c r="W38" i="3"/>
  <c r="W39" i="3"/>
  <c r="W41" i="3"/>
  <c r="X41" i="3" s="1"/>
  <c r="W42" i="3"/>
  <c r="X42" i="3" s="1"/>
  <c r="W43" i="3"/>
  <c r="W44" i="3"/>
  <c r="X44" i="3" s="1"/>
  <c r="W45" i="3"/>
  <c r="W46" i="3"/>
  <c r="X46" i="3" s="1"/>
  <c r="W47" i="3"/>
  <c r="W48" i="3"/>
  <c r="X48" i="3" s="1"/>
  <c r="W49" i="3"/>
  <c r="W50" i="3"/>
  <c r="X50" i="3" s="1"/>
  <c r="W52" i="3"/>
  <c r="W53" i="3"/>
  <c r="X53" i="3" s="1"/>
  <c r="W54" i="3"/>
  <c r="W55" i="3"/>
  <c r="W56" i="3"/>
  <c r="W58" i="3"/>
  <c r="W59" i="3"/>
  <c r="W60" i="3"/>
  <c r="W62" i="3"/>
  <c r="X62" i="3" s="1"/>
  <c r="W63" i="3"/>
  <c r="X63" i="3" s="1"/>
  <c r="W64" i="3"/>
  <c r="X64" i="3" s="1"/>
  <c r="W65" i="3"/>
  <c r="X65" i="3" s="1"/>
  <c r="W66" i="3"/>
  <c r="X66" i="3" s="1"/>
  <c r="W67" i="3"/>
  <c r="X67" i="3" s="1"/>
  <c r="W68" i="3"/>
  <c r="X68" i="3" s="1"/>
  <c r="W69" i="3"/>
  <c r="W70" i="3"/>
  <c r="X70" i="3" s="1"/>
  <c r="W71" i="3"/>
  <c r="X71" i="3" s="1"/>
  <c r="W72" i="3"/>
  <c r="X72" i="3" s="1"/>
  <c r="W73" i="3"/>
  <c r="X73" i="3" s="1"/>
  <c r="W74" i="3"/>
  <c r="W78" i="3"/>
  <c r="X78" i="3" s="1"/>
  <c r="W79" i="3"/>
  <c r="X79" i="3" s="1"/>
  <c r="W80" i="3"/>
  <c r="X80" i="3" s="1"/>
  <c r="W82" i="3"/>
  <c r="X82" i="3" s="1"/>
  <c r="W83" i="3"/>
  <c r="X83" i="3" s="1"/>
  <c r="W84" i="3"/>
  <c r="X84" i="3" s="1"/>
  <c r="W85" i="3"/>
  <c r="X85" i="3" s="1"/>
  <c r="W86" i="3"/>
  <c r="X86" i="3" s="1"/>
  <c r="W87" i="3"/>
  <c r="X87" i="3" s="1"/>
  <c r="W88" i="3"/>
  <c r="X88" i="3" s="1"/>
  <c r="W89" i="3"/>
  <c r="X89" i="3" s="1"/>
  <c r="W90" i="3"/>
  <c r="X90" i="3" s="1"/>
  <c r="W91" i="3"/>
  <c r="X91" i="3" s="1"/>
  <c r="W92" i="3"/>
  <c r="X92" i="3" s="1"/>
  <c r="W93" i="3"/>
  <c r="X93" i="3" s="1"/>
  <c r="W94" i="3"/>
  <c r="X94" i="3" s="1"/>
  <c r="W95" i="3"/>
  <c r="X95" i="3" s="1"/>
  <c r="W96" i="3"/>
  <c r="X96" i="3" s="1"/>
  <c r="W97" i="3"/>
  <c r="X97" i="3" s="1"/>
  <c r="W98" i="3"/>
  <c r="X98" i="3" s="1"/>
  <c r="W99" i="3"/>
  <c r="X99" i="3" s="1"/>
  <c r="W100" i="3"/>
  <c r="X100" i="3" s="1"/>
  <c r="W101" i="3"/>
  <c r="X101" i="3" s="1"/>
  <c r="W102" i="3"/>
  <c r="X102" i="3" s="1"/>
  <c r="W103" i="3"/>
  <c r="W106" i="3"/>
  <c r="X106" i="3" s="1"/>
  <c r="W107" i="3"/>
  <c r="X107" i="3" s="1"/>
  <c r="W109" i="3"/>
  <c r="W110" i="3"/>
  <c r="W112" i="3"/>
  <c r="W113" i="3"/>
  <c r="W115" i="3"/>
  <c r="W116" i="3"/>
  <c r="W118" i="3"/>
  <c r="W119" i="3"/>
  <c r="W120" i="3"/>
  <c r="X120" i="3" s="1"/>
  <c r="W40" i="3"/>
  <c r="T40" i="3"/>
  <c r="S40" i="3"/>
  <c r="R40" i="3"/>
  <c r="N40" i="3"/>
  <c r="P40" i="3" s="1"/>
  <c r="X40" i="3" l="1"/>
  <c r="J104" i="3" l="1"/>
  <c r="X109" i="3" l="1"/>
  <c r="X110" i="3"/>
  <c r="T86" i="3"/>
  <c r="T87" i="3"/>
  <c r="T88" i="3"/>
  <c r="R86" i="3"/>
  <c r="R87" i="3"/>
  <c r="R88" i="3"/>
  <c r="R84" i="3"/>
  <c r="R85" i="3"/>
  <c r="T84" i="3"/>
  <c r="T85" i="3"/>
  <c r="T81" i="3"/>
  <c r="T82" i="3"/>
  <c r="T83" i="3"/>
  <c r="R81" i="3"/>
  <c r="R82" i="3"/>
  <c r="R83" i="3"/>
  <c r="O104" i="3" l="1"/>
  <c r="L104" i="3"/>
  <c r="W104" i="3" s="1"/>
  <c r="M104" i="3"/>
  <c r="K104" i="3"/>
  <c r="I104" i="3"/>
  <c r="I76" i="3" l="1"/>
  <c r="I77" i="3"/>
  <c r="U111" i="3" l="1"/>
  <c r="W111" i="3" s="1"/>
  <c r="T68" i="3" l="1"/>
  <c r="R68" i="3"/>
  <c r="T63" i="3"/>
  <c r="R63" i="3"/>
  <c r="T42" i="3"/>
  <c r="R42" i="3"/>
  <c r="N119" i="3" l="1"/>
  <c r="N118" i="3"/>
  <c r="N116" i="3"/>
  <c r="X116" i="3" s="1"/>
  <c r="N115" i="3"/>
  <c r="X115" i="3" s="1"/>
  <c r="N113" i="3"/>
  <c r="N112" i="3"/>
  <c r="N103" i="3"/>
  <c r="P103" i="3" s="1"/>
  <c r="P104" i="3" s="1"/>
  <c r="U117" i="3"/>
  <c r="U114" i="3"/>
  <c r="U108" i="3"/>
  <c r="N74" i="3"/>
  <c r="N69" i="3"/>
  <c r="N60" i="3"/>
  <c r="X59" i="3"/>
  <c r="X58" i="3"/>
  <c r="N56" i="3"/>
  <c r="X56" i="3" s="1"/>
  <c r="N55" i="3"/>
  <c r="X55" i="3" s="1"/>
  <c r="N54" i="3"/>
  <c r="N52" i="3"/>
  <c r="N49" i="3"/>
  <c r="N47" i="3"/>
  <c r="N45" i="3"/>
  <c r="N43" i="3"/>
  <c r="N39" i="3"/>
  <c r="N38" i="3"/>
  <c r="N34" i="3"/>
  <c r="N31" i="3"/>
  <c r="N28" i="3"/>
  <c r="N20" i="3"/>
  <c r="N19" i="3"/>
  <c r="N12" i="3"/>
  <c r="U61" i="3"/>
  <c r="U57" i="3"/>
  <c r="U37" i="3"/>
  <c r="X12" i="3" l="1"/>
  <c r="N76" i="3"/>
  <c r="P12" i="3"/>
  <c r="X31" i="3"/>
  <c r="P31" i="3"/>
  <c r="X43" i="3"/>
  <c r="P43" i="3"/>
  <c r="X52" i="3"/>
  <c r="P52" i="3"/>
  <c r="X19" i="3"/>
  <c r="P19" i="3"/>
  <c r="X28" i="3"/>
  <c r="P28" i="3"/>
  <c r="X34" i="3"/>
  <c r="P34" i="3"/>
  <c r="X39" i="3"/>
  <c r="P39" i="3"/>
  <c r="X45" i="3"/>
  <c r="P45" i="3"/>
  <c r="X49" i="3"/>
  <c r="P49" i="3"/>
  <c r="X54" i="3"/>
  <c r="P54" i="3"/>
  <c r="X69" i="3"/>
  <c r="P69" i="3"/>
  <c r="X112" i="3"/>
  <c r="P112" i="3"/>
  <c r="X118" i="3"/>
  <c r="P118" i="3"/>
  <c r="X20" i="3"/>
  <c r="P20" i="3"/>
  <c r="X38" i="3"/>
  <c r="P38" i="3"/>
  <c r="X47" i="3"/>
  <c r="P47" i="3"/>
  <c r="X60" i="3"/>
  <c r="P60" i="3"/>
  <c r="X74" i="3"/>
  <c r="P74" i="3"/>
  <c r="X113" i="3"/>
  <c r="P113" i="3"/>
  <c r="X119" i="3"/>
  <c r="P119" i="3"/>
  <c r="N57" i="3"/>
  <c r="P57" i="3" s="1"/>
  <c r="W57" i="3"/>
  <c r="N37" i="3"/>
  <c r="P37" i="3" s="1"/>
  <c r="W37" i="3"/>
  <c r="N61" i="3"/>
  <c r="W61" i="3"/>
  <c r="W108" i="3"/>
  <c r="N117" i="3"/>
  <c r="P117" i="3" s="1"/>
  <c r="W117" i="3"/>
  <c r="N114" i="3"/>
  <c r="P114" i="3" s="1"/>
  <c r="W114" i="3"/>
  <c r="N104" i="3"/>
  <c r="X104" i="3" s="1"/>
  <c r="X103" i="3"/>
  <c r="T13" i="3"/>
  <c r="T14" i="3"/>
  <c r="T15" i="3"/>
  <c r="T17" i="3"/>
  <c r="T18" i="3"/>
  <c r="T19" i="3"/>
  <c r="T20" i="3"/>
  <c r="T21" i="3"/>
  <c r="T22" i="3"/>
  <c r="T23" i="3"/>
  <c r="T24" i="3"/>
  <c r="T25" i="3"/>
  <c r="T28" i="3"/>
  <c r="T29" i="3"/>
  <c r="T30" i="3"/>
  <c r="T31" i="3"/>
  <c r="T32" i="3"/>
  <c r="T33" i="3"/>
  <c r="T34" i="3"/>
  <c r="T35" i="3"/>
  <c r="T36" i="3"/>
  <c r="T37" i="3"/>
  <c r="T38" i="3"/>
  <c r="T39" i="3"/>
  <c r="T41" i="3"/>
  <c r="T43" i="3"/>
  <c r="T44" i="3"/>
  <c r="T45" i="3"/>
  <c r="T46" i="3"/>
  <c r="T47" i="3"/>
  <c r="T48" i="3"/>
  <c r="T49" i="3"/>
  <c r="T50" i="3"/>
  <c r="T52" i="3"/>
  <c r="T53" i="3"/>
  <c r="T54" i="3"/>
  <c r="T55" i="3"/>
  <c r="T56" i="3"/>
  <c r="T57" i="3"/>
  <c r="T58" i="3"/>
  <c r="T59" i="3"/>
  <c r="T60" i="3"/>
  <c r="T61" i="3"/>
  <c r="T62" i="3"/>
  <c r="T64" i="3"/>
  <c r="T65" i="3"/>
  <c r="T66" i="3"/>
  <c r="T67" i="3"/>
  <c r="T69" i="3"/>
  <c r="T70" i="3"/>
  <c r="T71" i="3"/>
  <c r="T72" i="3"/>
  <c r="T73" i="3"/>
  <c r="T74" i="3"/>
  <c r="T78" i="3"/>
  <c r="T79" i="3"/>
  <c r="T80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" i="3"/>
  <c r="S60" i="3"/>
  <c r="P75" i="3" l="1"/>
  <c r="P76" i="3"/>
  <c r="N75" i="3"/>
  <c r="N77" i="3"/>
  <c r="P61" i="3"/>
  <c r="P77" i="3" s="1"/>
  <c r="X114" i="3"/>
  <c r="X117" i="3"/>
  <c r="X108" i="3"/>
  <c r="X61" i="3"/>
  <c r="X37" i="3"/>
  <c r="X57" i="3"/>
  <c r="N111" i="3"/>
  <c r="S52" i="3"/>
  <c r="S49" i="3"/>
  <c r="S47" i="3"/>
  <c r="S45" i="3"/>
  <c r="S43" i="3"/>
  <c r="X111" i="3" l="1"/>
  <c r="P111" i="3"/>
  <c r="S31" i="3"/>
  <c r="S28" i="3"/>
  <c r="S20" i="3"/>
  <c r="S19" i="3"/>
  <c r="S12" i="3"/>
  <c r="R13" i="3" l="1"/>
  <c r="R14" i="3"/>
  <c r="R15" i="3"/>
  <c r="R17" i="3"/>
  <c r="R18" i="3"/>
  <c r="R19" i="3"/>
  <c r="R20" i="3"/>
  <c r="R21" i="3"/>
  <c r="R22" i="3"/>
  <c r="R23" i="3"/>
  <c r="R24" i="3"/>
  <c r="R25" i="3"/>
  <c r="R28" i="3"/>
  <c r="R29" i="3"/>
  <c r="R30" i="3"/>
  <c r="R31" i="3"/>
  <c r="R32" i="3"/>
  <c r="R33" i="3"/>
  <c r="R34" i="3"/>
  <c r="R35" i="3"/>
  <c r="R36" i="3"/>
  <c r="R37" i="3"/>
  <c r="R38" i="3"/>
  <c r="R39" i="3"/>
  <c r="R41" i="3"/>
  <c r="R43" i="3"/>
  <c r="R44" i="3"/>
  <c r="R45" i="3"/>
  <c r="R46" i="3"/>
  <c r="R47" i="3"/>
  <c r="R48" i="3"/>
  <c r="R49" i="3"/>
  <c r="R50" i="3"/>
  <c r="R52" i="3"/>
  <c r="R53" i="3"/>
  <c r="R54" i="3"/>
  <c r="R55" i="3"/>
  <c r="R56" i="3"/>
  <c r="R57" i="3"/>
  <c r="R58" i="3"/>
  <c r="R59" i="3"/>
  <c r="R60" i="3"/>
  <c r="R61" i="3"/>
  <c r="R62" i="3"/>
  <c r="R64" i="3"/>
  <c r="R65" i="3"/>
  <c r="R66" i="3"/>
  <c r="R67" i="3"/>
  <c r="R69" i="3"/>
  <c r="R70" i="3"/>
  <c r="R71" i="3"/>
  <c r="R72" i="3"/>
  <c r="R73" i="3"/>
  <c r="R74" i="3"/>
  <c r="R78" i="3"/>
  <c r="R79" i="3"/>
  <c r="R80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" i="3"/>
  <c r="P48" i="1" l="1"/>
  <c r="P12" i="1" s="1"/>
  <c r="K48" i="1"/>
  <c r="K12" i="1" s="1"/>
  <c r="E48" i="1"/>
  <c r="E12" i="1" s="1"/>
  <c r="AD48" i="1" l="1"/>
  <c r="T48" i="1"/>
  <c r="T12" i="1" s="1"/>
  <c r="W76" i="3" l="1"/>
  <c r="T76" i="3"/>
  <c r="T75" i="3" l="1"/>
  <c r="W75" i="3"/>
  <c r="X75" i="3" s="1"/>
  <c r="W77" i="3"/>
  <c r="X77" i="3" s="1"/>
  <c r="T77" i="3"/>
  <c r="X76" i="3"/>
  <c r="T104" i="3"/>
  <c r="R77" i="3"/>
  <c r="R104" i="3"/>
  <c r="R75" i="3"/>
  <c r="R76" i="3"/>
  <c r="J105" i="3" l="1"/>
  <c r="K105" i="3"/>
  <c r="L105" i="3"/>
  <c r="M105" i="3"/>
  <c r="N105" i="3"/>
  <c r="O105" i="3"/>
  <c r="P105" i="3"/>
  <c r="I105" i="3"/>
  <c r="W105" i="3" l="1"/>
  <c r="X105" i="3" s="1"/>
  <c r="R105" i="3"/>
  <c r="T105" i="3"/>
  <c r="P123" i="3"/>
  <c r="P126" i="3" s="1"/>
  <c r="O123" i="3"/>
  <c r="O126" i="3" s="1"/>
  <c r="N123" i="3"/>
  <c r="N126" i="3" s="1"/>
  <c r="M123" i="3"/>
  <c r="M126" i="3" s="1"/>
  <c r="L123" i="3"/>
  <c r="L126" i="3" s="1"/>
  <c r="K123" i="3"/>
  <c r="K126" i="3" s="1"/>
  <c r="J123" i="3"/>
  <c r="I123" i="3"/>
  <c r="P122" i="3"/>
  <c r="O122" i="3"/>
  <c r="O125" i="3" s="1"/>
  <c r="O124" i="3" s="1"/>
  <c r="N122" i="3"/>
  <c r="N125" i="3" s="1"/>
  <c r="N124" i="3" s="1"/>
  <c r="M122" i="3"/>
  <c r="M125" i="3" s="1"/>
  <c r="M124" i="3" s="1"/>
  <c r="L122" i="3"/>
  <c r="L125" i="3" s="1"/>
  <c r="L124" i="3" s="1"/>
  <c r="K122" i="3"/>
  <c r="K125" i="3" s="1"/>
  <c r="K124" i="3" s="1"/>
  <c r="J122" i="3"/>
  <c r="I122" i="3"/>
  <c r="S114" i="3"/>
  <c r="S111" i="3"/>
  <c r="S108" i="3"/>
  <c r="S107" i="3"/>
  <c r="S78" i="3"/>
  <c r="P125" i="3"/>
  <c r="P124" i="3" s="1"/>
  <c r="V69" i="3"/>
  <c r="T11" i="3"/>
  <c r="S11" i="3"/>
  <c r="W122" i="3" l="1"/>
  <c r="X122" i="3" s="1"/>
  <c r="J125" i="3"/>
  <c r="W123" i="3"/>
  <c r="J126" i="3"/>
  <c r="X123" i="3"/>
  <c r="T122" i="3"/>
  <c r="T123" i="3"/>
  <c r="R122" i="3"/>
  <c r="R123" i="3"/>
  <c r="J121" i="3"/>
  <c r="P121" i="3"/>
  <c r="I126" i="3"/>
  <c r="M121" i="3"/>
  <c r="K121" i="3"/>
  <c r="I121" i="3"/>
  <c r="I125" i="3"/>
  <c r="N121" i="3"/>
  <c r="O121" i="3"/>
  <c r="L121" i="3"/>
  <c r="J124" i="3" l="1"/>
  <c r="W125" i="3"/>
  <c r="X125" i="3" s="1"/>
  <c r="W126" i="3"/>
  <c r="X126" i="3" s="1"/>
  <c r="W121" i="3"/>
  <c r="X121" i="3" s="1"/>
  <c r="T121" i="3"/>
  <c r="T126" i="3"/>
  <c r="S126" i="3"/>
  <c r="S125" i="3"/>
  <c r="T125" i="3"/>
  <c r="R121" i="3"/>
  <c r="R126" i="3"/>
  <c r="R125" i="3"/>
  <c r="I124" i="3"/>
  <c r="AC72" i="1" l="1"/>
  <c r="AD72" i="1"/>
  <c r="W124" i="3"/>
  <c r="X124" i="3" s="1"/>
  <c r="T124" i="3"/>
  <c r="S124" i="3"/>
  <c r="R124" i="3"/>
  <c r="D13" i="1" l="1"/>
  <c r="D12" i="1" l="1"/>
  <c r="D72" i="1"/>
</calcChain>
</file>

<file path=xl/sharedStrings.xml><?xml version="1.0" encoding="utf-8"?>
<sst xmlns="http://schemas.openxmlformats.org/spreadsheetml/2006/main" count="1733" uniqueCount="522">
  <si>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</si>
  <si>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</si>
  <si>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</si>
  <si>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</si>
  <si>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</si>
  <si>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</si>
  <si>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</si>
  <si>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</si>
  <si>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</si>
  <si>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</si>
  <si>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</si>
  <si>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</si>
  <si>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</si>
  <si>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</si>
  <si>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</si>
  <si>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</si>
  <si>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</si>
  <si>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</si>
  <si>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</si>
  <si>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</si>
  <si>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</si>
  <si>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</si>
  <si>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</si>
  <si>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</si>
  <si>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</si>
  <si>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</si>
  <si>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</si>
  <si>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</si>
  <si>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</si>
  <si>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</si>
  <si>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</si>
  <si>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</si>
  <si>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</si>
  <si>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</si>
  <si>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</si>
  <si>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</si>
  <si>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</si>
  <si>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</si>
  <si>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</si>
  <si>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</si>
  <si>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</si>
  <si>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</si>
  <si>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</si>
  <si>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</si>
  <si>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</si>
  <si>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</si>
  <si>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</si>
  <si>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</si>
  <si>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</si>
  <si>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</si>
  <si>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</si>
  <si>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</si>
  <si>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</si>
  <si>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</si>
  <si>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</si>
  <si>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</si>
  <si>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</si>
  <si>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</si>
  <si>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</si>
  <si>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</si>
  <si>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</si>
  <si>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</si>
  <si>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</si>
  <si>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</si>
  <si>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</si>
  <si>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</si>
  <si>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</si>
  <si>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</si>
  <si>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</si>
  <si>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</si>
  <si>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</si>
  <si>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</si>
  <si>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</si>
  <si>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</si>
  <si>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</si>
  <si>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</si>
  <si>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</si>
  <si>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</si>
  <si>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</si>
  <si>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</si>
  <si>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</si>
  <si>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</si>
  <si>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</si>
  <si>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</si>
  <si>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</si>
  <si>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</si>
  <si>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</si>
  <si>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</si>
  <si>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</si>
  <si>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</si>
  <si>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</si>
  <si>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</si>
  <si>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</si>
  <si>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</si>
  <si>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</si>
  <si>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</si>
  <si>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</si>
  <si>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</si>
  <si>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</si>
  <si>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</si>
  <si>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</si>
  <si>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</si>
  <si>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</si>
  <si>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</si>
  <si>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</si>
  <si>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</si>
  <si>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</si>
  <si>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</si>
  <si>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</si>
  <si>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</si>
  <si>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</si>
  <si>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</si>
  <si>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</si>
  <si>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</si>
  <si>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</si>
  <si>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</si>
  <si>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</si>
  <si>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</si>
  <si>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</si>
  <si>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</si>
  <si>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</si>
  <si>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</si>
  <si>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</si>
  <si>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</si>
  <si>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</si>
  <si>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</si>
  <si>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</si>
  <si>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</si>
  <si>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</si>
  <si>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</si>
  <si>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</si>
  <si>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</si>
  <si>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</si>
  <si>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</si>
  <si>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</si>
  <si>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</si>
  <si>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</si>
  <si>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</si>
  <si>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</si>
  <si>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</si>
  <si>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</si>
  <si>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</si>
  <si>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</si>
  <si>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</si>
  <si>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</si>
  <si>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</si>
  <si>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</si>
  <si>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</si>
  <si>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</si>
  <si>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</si>
  <si>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</si>
  <si>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</si>
  <si>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</si>
  <si>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</si>
  <si>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</si>
  <si>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</si>
  <si>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</si>
  <si>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</si>
  <si>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</si>
  <si>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</si>
  <si>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</si>
  <si>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</si>
  <si>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</si>
  <si>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</si>
  <si>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</si>
  <si>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</si>
  <si>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</si>
  <si>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</si>
  <si>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</si>
  <si>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</si>
  <si>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</si>
  <si>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</si>
  <si>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</si>
  <si>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</si>
  <si>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</si>
  <si>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</si>
  <si>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</si>
  <si>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</si>
  <si>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</si>
  <si>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</si>
  <si>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</si>
  <si>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</si>
  <si>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</si>
  <si>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</si>
  <si>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</si>
  <si>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</si>
  <si>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</si>
  <si>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</si>
  <si>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</si>
  <si>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</si>
  <si>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</si>
  <si>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</si>
  <si>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</si>
  <si>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</si>
  <si>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</si>
  <si>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</si>
  <si>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</si>
  <si>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</si>
  <si>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</si>
  <si>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</si>
  <si>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</si>
  <si>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</si>
  <si>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</si>
  <si>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</si>
  <si>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</si>
  <si>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</si>
  <si>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</si>
  <si>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</si>
  <si>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</si>
  <si>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</si>
  <si>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</si>
  <si>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</si>
  <si>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</si>
  <si>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</si>
  <si>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</si>
  <si>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</si>
  <si>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</si>
  <si>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</si>
  <si>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</si>
  <si>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</si>
  <si>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</si>
  <si>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</si>
  <si>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</si>
  <si>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</si>
  <si>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</si>
  <si>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</si>
  <si>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</si>
  <si>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</si>
  <si>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</si>
  <si>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</si>
  <si>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</si>
  <si>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</si>
  <si>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</si>
  <si>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</si>
  <si>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</si>
  <si>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</si>
  <si>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</si>
  <si>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</si>
  <si>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</si>
  <si>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</si>
  <si>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</si>
  <si>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</si>
  <si>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</si>
  <si>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</si>
  <si>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</si>
  <si>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</si>
  <si>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</si>
  <si>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</si>
  <si>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</si>
  <si>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</si>
  <si>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</si>
  <si>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</si>
  <si>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</si>
  <si>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</si>
  <si>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</si>
  <si>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</si>
  <si>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</si>
  <si>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Начальник отдела анализа, прогноза и мониторинга трудовых ресурсов в управлении занятости населения Л.И. Чурсина</t>
  </si>
  <si>
    <t>Начальник отдела анализа, прогноза и мониторинга трудовых ресурсов в управлении занятости населения Л.И.Чурсина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</si>
  <si>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</si>
  <si>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</si>
  <si>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</si>
  <si>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</si>
  <si>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</si>
  <si>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</si>
  <si>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</si>
  <si>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</si>
  <si>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</si>
  <si>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</si>
  <si>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</si>
  <si>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</si>
  <si>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</si>
  <si>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</si>
  <si>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</si>
  <si>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</si>
  <si>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</si>
  <si>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</si>
  <si>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</si>
  <si>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</si>
  <si>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</si>
  <si>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</si>
  <si>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</si>
  <si>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</si>
  <si>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1.2.8</t>
  </si>
  <si>
    <t>1.3.3</t>
  </si>
  <si>
    <t>2.20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</si>
  <si>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</si>
  <si>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2.21</t>
  </si>
  <si>
    <t xml:space="preserve">Численность работников предприятий - участников регионального проекта "Адресная поддержка повышения производительности труда на предприятиях",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</si>
  <si>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</si>
  <si>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</si>
  <si>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2.23</t>
  </si>
  <si>
    <t>Уровень удовлетворенности соискателей - получателей услуг по подбору вакансий услугами служб занятости, которые осуществляют внедрение единых требований</t>
  </si>
  <si>
    <t>2.24</t>
  </si>
  <si>
    <t>Уровень удовлетворенности работодателей - получателей услуг по подбору работников услугами служб занятости, которые осуществляют внедрение единых требований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</si>
  <si>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</si>
  <si>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</si>
  <si>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</si>
  <si>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r>
      <t>Причины неполного кассового исполнения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</si>
  <si>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на 1 %</t>
  </si>
  <si>
    <t>согласование не менее 5 учебных программ</t>
  </si>
  <si>
    <t>организация не менее 2 краевых конкурсов по охране труда</t>
  </si>
  <si>
    <t xml:space="preserve"> выполнено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</si>
  <si>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</si>
  <si>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</si>
  <si>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</si>
  <si>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</si>
  <si>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</si>
  <si>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</si>
  <si>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</si>
  <si>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2.25</t>
  </si>
  <si>
    <t>2.26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</si>
  <si>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</si>
  <si>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</si>
  <si>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</si>
  <si>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</si>
  <si>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</si>
  <si>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</si>
  <si>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</si>
  <si>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</si>
  <si>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</si>
  <si>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</si>
  <si>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</si>
  <si>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</si>
  <si>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</si>
  <si>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</si>
  <si>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</si>
  <si>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</si>
  <si>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</si>
  <si>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</si>
  <si>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</si>
  <si>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</si>
  <si>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</si>
  <si>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</si>
  <si>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 xml:space="preserve">департамент по делам казачества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</si>
  <si>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</si>
  <si>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организовано внедрение единых требований к организации деятельности государственных учреждений службы занятости в пилотном государственном казенном учреждении Краснодарского края центре занятости населения города Краснодара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</si>
  <si>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</si>
  <si>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</si>
  <si>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>Итоги прогноза дополнительной потребности отраслевых организаций Краснодарского края                              в квалифицированных кадрах на период до 2026 года сформированы и направлены в министерство образования, науки и молодежной политики Краснодарского края для использования в работе по формированию контрольных цифр приема в профессиональные образовательные организации края                                (№ 204-16366/19-22.4-15 от 28.06.2019) и отраслевые министерства и департаменты (№204-16367/19-22.4-15 от 28.06.2019)</t>
  </si>
  <si>
    <t>1.5.4</t>
  </si>
  <si>
    <t>Доля сохранивших занятость работников предпенсионного возраста, прошедших профессиональное обучение или получивших до-полнительное профессиональное образование, в численности работников предпенсионного возраста, прошедших обучение</t>
  </si>
  <si>
    <t>Доля занятых в численности лиц предпенсионного возраста, прошедших профессиональ-ное обучение или получивших дополнитель-ное профессиональное образование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</si>
  <si>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</si>
  <si>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</si>
  <si>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</si>
  <si>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</si>
  <si>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анализа, прогноза и мониторинга трудовых ресурсов в управлении занятости населения
Чурсина Л.И.,
начальник отдела автоматизации и информационных технологий
Воробьев Е.Е.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</si>
  <si>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</si>
  <si>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</si>
  <si>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</si>
  <si>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</si>
  <si>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</si>
  <si>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</si>
  <si>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</si>
  <si>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</si>
  <si>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</si>
  <si>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</si>
  <si>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</si>
  <si>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</si>
  <si>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</si>
  <si>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</si>
  <si>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</si>
  <si>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</si>
  <si>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</si>
  <si>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</si>
  <si>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</si>
  <si>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</si>
  <si>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23.04.2019, 29.11.2019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</si>
  <si>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</si>
  <si>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</si>
  <si>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</si>
  <si>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</si>
  <si>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начальник отдела управления охраны труда и социальных гарантий в управ-лении труда мини-стерства труда и социального разви-тия Краснодарско-го края
Мацокин А.М.
</t>
  </si>
  <si>
    <t xml:space="preserve">09.01.2019
</t>
  </si>
  <si>
    <t xml:space="preserve">ведущий консультант отдела бюджетного планирования и финансирования министерства образования, науки и молодежной политики Краснодарского края
Зозуля А.Г.
</t>
  </si>
  <si>
    <t>Финансовое обеспечение подведомственных депар-таменту ветеринарии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</si>
  <si>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Финансовое обеспечение подведомственных мини-стерству гражданской обороны  и чрезвычайных ситуаций Краснодарского края государственных ка-зенных учреждений Крас-нодарского края в части проведения специальной оценки условий труда на рабочих местах</t>
  </si>
  <si>
    <t xml:space="preserve">ведущий консультант отдела по вопросам гос. службы и кадров министерства гражданской обороны  и чрезвычайных ситуаций Краснодарского края
Кожухарь Е.А.
</t>
  </si>
  <si>
    <t xml:space="preserve">начальник отдела финансового, бухгалтерского учета и контроля департамента ветеринарии Краснодарского края
Егорова Н.В.
</t>
  </si>
  <si>
    <t xml:space="preserve">ведущий консуль-тант отдела по управлению мате-риально-техническими ре-сурсами министер-ства здравоохране-ния Краснодарско-го края
Клещева Л.И.
</t>
  </si>
  <si>
    <t>Финансовое обеспечение подведомственных министерству физической культуры и спорта Краснодар-ского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</si>
  <si>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ведущий консуль-тант отдела 
правовой и кадровой работы министерства физической культуры и спорта Краснодарского края
Фокина Е.Н.
</t>
  </si>
  <si>
    <t xml:space="preserve">начальник финансово-экономического отдела департамента по архитектуре и градостроительству Краснодарского края 
Марковская Н.А.
</t>
  </si>
  <si>
    <t xml:space="preserve">начальник отдела правовой, кадровой и финансовой работы департамент по делам казачества и военным вопросам Краснодарского края 
Денисенко М.А.
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</si>
  <si>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</si>
  <si>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</si>
  <si>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</si>
  <si>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</si>
  <si>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</si>
  <si>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</si>
  <si>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</si>
  <si>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</si>
  <si>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</si>
  <si>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</si>
  <si>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</si>
  <si>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</si>
  <si>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</si>
  <si>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</si>
  <si>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09.01.2019,
08.02.2019,
07.03.2019,
10.04.2019,
10.05.2019,
10.06.2019,
10.07.2019, 09.08.2019, 10.09.2019, 10.10.2019, 08.11.2019, 10.12.2019, 10.01.2020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</si>
  <si>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</si>
  <si>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1.1.3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</si>
  <si>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</si>
  <si>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</si>
  <si>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</si>
  <si>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29.03.2019,
28.06.2019, 30.09.2019, 31.12.2019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</si>
  <si>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</si>
  <si>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</si>
  <si>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1.1.6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</si>
  <si>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</si>
  <si>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</si>
  <si>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</si>
  <si>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</si>
  <si>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</si>
  <si>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</si>
  <si>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</si>
  <si>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1.2.3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</si>
  <si>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1.2.5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</si>
  <si>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Контрольное событие 1.2.6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</si>
  <si>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</si>
  <si>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</si>
  <si>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</si>
  <si>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</si>
  <si>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</si>
  <si>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</si>
  <si>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</si>
  <si>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</si>
  <si>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отсутствие потребности участников Региональной программы переселения соотечественников в получении компенсации расходов на первичное медицинское обследование</t>
  </si>
  <si>
    <t>на 0,5 %</t>
  </si>
  <si>
    <t>снижение уровня смертельного травматизма на 0,5 %</t>
  </si>
  <si>
    <t>за 2019 год</t>
  </si>
  <si>
    <t xml:space="preserve">29.03.2019,
28.06.2019,
30.09.2019,
31.12.2019
</t>
  </si>
  <si>
    <t>03.05.2019, 01.10.2019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</si>
  <si>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</si>
  <si>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29.03.2019,
28.06.2019, 30.09.2019, 27.12.2019</t>
  </si>
  <si>
    <t>26.04.2019, 01.10.2019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</si>
  <si>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</si>
  <si>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</si>
  <si>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 xml:space="preserve">С 2019 года уполномоченным органом в Краснодарском крае по определению потребности в привлечении иностранных работников, в том числе увеличению (уменьшению) размера потребности в привлечении иностранных работников является управление по миграционным вопросам администрации Краснодарского края (основание - постановление главы администрации (губернатора) Краснодарского края от 5.02. 2019  № 54 "О создании управления по миграционным вопросам администрации Краснодарского края и о внесении изменений в некоторые правовые акты главы администрации (губернатора) Краснодарского края"  </t>
  </si>
  <si>
    <t>1.4.4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</si>
  <si>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</si>
  <si>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>Поступило 184 запроса на 1340 рабочих места, подготовлено 184 заключения, из них 174 положительных или частично положительных, 10 отрицательных заключений. Согласовано привлечение иностранных работников на 1238 рабочих мест, отказано в привлечении иностранных работников на 102 рабочих места</t>
  </si>
  <si>
    <t>разработан прогноз баланса трудовых ресурсов Краснодарского края до 2022 года</t>
  </si>
  <si>
    <t>опрос инвалидов проведен в IV квартале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</si>
  <si>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</si>
  <si>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r>
      <t>4,8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</si>
  <si>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5,2</t>
    </r>
    <r>
      <rPr>
        <vertAlign val="superscript"/>
        <sz val="12"/>
        <color theme="1"/>
        <rFont val="Times New Roman"/>
        <family val="1"/>
        <charset val="204"/>
      </rPr>
      <t>4)</t>
    </r>
  </si>
  <si>
    <t xml:space="preserve">Показатель расчитывается на федеральном уровне Росстатом в целом по Российской Федерации и по субъектам Российской Федерации на ежегодной основе (Приказ Росстата от 31.10.2019 № 639 "Об утверждении методики расчета показателей "Уровень занятости женщин, имеющих детей дошкольного возраста" и "Уровень занятости женщин, имеющих детей в возрасте до трех лет" федерального проекта "Содействие занятости женщин - создание условий дошкольного образования для детей в возрасте до трех лет" национального проекта "Демография")  </t>
  </si>
  <si>
    <t>26.03.2019, 28.06.2019, 26.09.2019, 19.12.2019</t>
  </si>
  <si>
    <t>01.03.2019, 25.06.2019, 25.09.2019, 19.12.2019</t>
  </si>
  <si>
    <r>
      <t>46,91</t>
    </r>
    <r>
      <rPr>
        <vertAlign val="superscript"/>
        <sz val="12"/>
        <color theme="1"/>
        <rFont val="Times New Roman"/>
        <family val="1"/>
        <charset val="204"/>
      </rPr>
      <t>2)</t>
    </r>
  </si>
  <si>
    <t>Недостижение целевого показателя связано с с увеличением числа рабочих мест, на которых проведена специальная оценка условий труда, что позволило выявить вредные и опасные производственные факторы</t>
  </si>
  <si>
    <t>на 0,1%</t>
  </si>
  <si>
    <t>увеличение количества рабочих мест в организациях края, на которых проведена специальная оценка условий труда, на 3,2 %</t>
  </si>
  <si>
    <t>В ходе проведения специальной оценки условий труда выявлены аналогичные рабочие места, не подлежащие проведению специальной оценки условий труда</t>
  </si>
  <si>
    <t>За 12 месяцев 2019 года охват мониторингом составил 83,2 % от общего количества работающих в крае</t>
  </si>
  <si>
    <t>уровень смертельного травматизма снизился на 6,7 % в сравнении с аналогичным периодом 2018 года</t>
  </si>
  <si>
    <t>за 2019 года</t>
  </si>
  <si>
    <t xml:space="preserve">1.3.3 </t>
  </si>
  <si>
    <t xml:space="preserve">1.2.6 </t>
  </si>
  <si>
    <t>выпуск 5 тыс. буклетов (листовок)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</si>
  <si>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Дня матери,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</si>
  <si>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занятостинаселения для инвалидов»</t>
  </si>
  <si>
    <t>Проведение опроса женщин, находящихся в отпуске по уходу за ребенком, по выявлению проблем, сдерживающих их возможности пройти профессиональное обучение или трудоустроиться</t>
  </si>
  <si>
    <t>начальник отдела анализа, прогноза и мониторинга трудовых ресурсов в управлении занятости населения Чурсина Л.И., начальник отдела трудоустройства и организации профессионального обучения в управлении занятости населения 
Слепченко М.В.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</si>
  <si>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</si>
  <si>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</si>
  <si>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заявительный характер</t>
  </si>
  <si>
    <t xml:space="preserve">предусмотрено самостоятельное обустройство </t>
  </si>
  <si>
    <t xml:space="preserve">Заявительный характер выплаты компенсаций </t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</si>
  <si>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 xml:space="preserve">По данным Управления Федеральной службы государственной статистики по Краснодарскому краю и Республике Адыгея за сентябрь-ноябрь      
</t>
    </r>
  </si>
  <si>
    <t>2,2/84,1</t>
  </si>
  <si>
    <t>Постоянное и временное жилищное обустройство осуществляется участниками самостоятельно (п. 4.3 регламента приема участников. Приказ МТиСР КК от 01.08.2016 № 917)</t>
  </si>
  <si>
    <t xml:space="preserve">Из 428 человек (участники с членами семьи) 104 - несовершеннолетние, 17 - пенсионеры ) </t>
  </si>
  <si>
    <t>По данным анкетирования участники и члены их семей в качестве СМСП не регистрировались</t>
  </si>
  <si>
    <t xml:space="preserve">2 рабочих места стали вакантны на дату проведения работ. Специальная оценка условий труда проводится только на занятых рабочих местах
</t>
  </si>
  <si>
    <t>Остаток 5,0 тыс. рублей по результатам проведения конкурсных процедур</t>
  </si>
  <si>
    <t>Остаток 24,2 тыс. рублей по результатам проведения конкурснывх процедур</t>
  </si>
  <si>
    <t>Остаток 0,3 тыс. рублей по результатам конкурсных процедур</t>
  </si>
  <si>
    <t>присвоение статуса отраслевого центра одной аккредитованной обучающей организации</t>
  </si>
  <si>
    <t xml:space="preserve">Экономия 0,6 тыс. рублей по результатам проведения конкурсных процедур </t>
  </si>
  <si>
    <t>Экономия в сумме 1510,7 тыс рублей. По результам конкурсных процедур выявлена средняя стоимость обучения одного работника составляла 60,0 тыс. рублей. В Краснодарском крае средняя стоимость обучения одного работника составила 15,7 тыс. рублей или 26,2 % от расчетной стоимости.</t>
  </si>
  <si>
    <t>Из 428 человек (участники с членами семьи) 104 - несовершеннолетние, 17 пенсионеры ) 307 участников и членов семей трудоспособного возраста, из них 2 члена  семей до 25 лет получают профессиональное образование. Остальные участники подпрограммы и члены их семей в возрасте от 16 до 25 лет не нуждаются в получении профессионального образования</t>
  </si>
  <si>
    <t>Экономия 29,1 тыс. руб., сложившаяся по факту выполнения мероприятия (гражданами не предоставлены документы, подтверждающие расходы по найму жилья и оплате проезда к новому месту работы)</t>
  </si>
  <si>
    <t>Остаток 1 182,9 тыс рублей в т.ч. возврат в декабре ФСС по листам временной нетрудоспособности -540,1 тыс. руб.; остаток бюджетных обязательств для оплаты за декабрь ЖКУ -574,4 тыс. руб., налоговых платежей - 13,6 тыс. рублей; экономия в результате проведения конкурсных процедур-54,8 тыс. руб.</t>
  </si>
  <si>
    <t>Остаток 5,0 тыс. рублей, сложившийся по факту выполнения мероприятия. В ходе проведения специальной оценки условий труда выявлены аналогичные рабочие места, не подлежащие проведению специальной оценки условий труда</t>
  </si>
  <si>
    <t xml:space="preserve">Экономия 21,8 тыс. рублей, сложившаяся по факту выполнения мероприятия. Возмещение затрат происходит по фактически предоставленным документам в зависимости от полученных медицинских услуг. </t>
  </si>
  <si>
    <t>ед.</t>
  </si>
  <si>
    <t>Невыполнение показателя обусловлено заявительным принципом присвоения аккредитованным в установленном порядке обучающим организациям статуса отраслевого учебного методического центра по охране труда, по представлению органа исполнительной власти Краснодарского края, курирующего отрасль в соответствии с Положением об отраслевом учебном методическом центре. Обращений (представлений) в Краевую межведомственную комиссию по охране труда от ОИВ КК в 2019 году  не поступало.</t>
  </si>
  <si>
    <t>Экономия 2,0 тыс. рублей, сложившаяся по факту выполнения мероприятия.  На дату проведения работ по специальной оценки условий труда 2 рабочих места вакантны.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</si>
  <si>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</si>
  <si>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Начальник отдела реализации 
национальных проектов и государственных программ</t>
  </si>
  <si>
    <t>О.Г. Лычагина</t>
  </si>
  <si>
    <t>Климова Екатерина Анатольевна</t>
  </si>
  <si>
    <t>+7 (861) 259-22-97</t>
  </si>
  <si>
    <t>Недостижение целевого показателя связано с увеличением числа рабочих мест, на которых проведена специальная оценка условий труда, что позволило выявить вредные и опасные производственные факторы</t>
  </si>
  <si>
    <t>показатель будет доведен Росстатом 25.03.2020 года</t>
  </si>
  <si>
    <t xml:space="preserve">Причина недостижения целевого показателя - уменьшение количества поступающих заявлений.       За аналогичный период 2018 г. в министерство из УВМ ГУ МВД поступило 307 заявлений.                         В 2019 году министер-            ством рассмотрено  251 заявление: 237  заявлений, поступивших в 2019 г. и 14 заявлений, поступивших в конце 2018 г. Кроме того, не все заявители соответ-           ствуют критериям программы.  Основными причинами отказа в участии в Региональной программе переселения являются: отсутствие у заявителей образования и требуемой профес-         сиональной квалификации, необходимых для замещения вакансий, заявленных работодателями, а также отсутствие в информационном пакете вакансий, указанных заявителями. </t>
  </si>
  <si>
    <t>Всего поступило в 2019 г. 250 заявлений, из них рассмотрено 237                       (13 заявлений, поступив-           ших в конце 2019 г.  перешли на 2020 год, в соответствии со сроками рассмотрения, установленными УВМ ГУ МВД России по Краснодарскому краю)</t>
  </si>
  <si>
    <t>Экономия 1,5 тыс. рублей, сложившаяся в связи с заявительным принципом оказания услуги (Гражданами не представлены в центры занятости документы, подтверждающие оплату госпошлины за регистрацию предпринимательской деятельности</t>
  </si>
  <si>
    <t>остаток в сумме 72,1 тыс. руб., в том числе 9,5 тыс. руб. - экономия по банковским услугам, 62,6 тыс. руб. - сокращение фактического периода участия во временных работах</t>
  </si>
  <si>
    <t>Экономия 2,8 тыс. рублей в результате проведения конкурсных процедур</t>
  </si>
  <si>
    <t>Экономия 1,7 тыс. рублей в результате проведения конкурсных процедур</t>
  </si>
  <si>
    <t>Экономия 1 537,3 тыс. руб, сложившаяся по результатам проведения конкурсных процедур</t>
  </si>
  <si>
    <t>Экономия 37,8 тыс. руб., сложившаяся по результатам проведения конкурсных процедур</t>
  </si>
  <si>
    <t>Экономия 127,6 тыс. руб, сложившаяся по результатам проведения конкурсных процедур</t>
  </si>
  <si>
    <t xml:space="preserve">Экономия 93 101,3 тыс рублей, сложившаяся по результатам прведения конкурсных процедур, в ходе которых фактическая стоимость обучения составила 6,5 тыс. рублей, средний период обучения – 1,5 месяца (Предусмотренный объем финансирования доведен региону исходя из расчета стоимости обучения на одного человека – 68,5 тыс. рублей и периодом обучения – 3 месяца).
</t>
  </si>
  <si>
    <t>Остаток 61,5 тыс.руб., в т.ч. 53,7 тыс.руб - экономия по услугам на доставку и перечисление;             7,8 тыс. руб. -  не востребованное пособие (заявительный принцип обращения)</t>
  </si>
  <si>
    <t xml:space="preserve">Остаток 406,7 тыс. руб., в т.ч. 3,1 тыс.руб. - экономия по услугам на доставку и перечисление; 403,6 тыс. руб. - экономия в результате сокращения периода обучения </t>
  </si>
  <si>
    <t>Остаток 65,5 тыс. руб., в том числе 5,1 тыс.руб. - экономия по банковским услугам; 60,4 тыс. руб. - не востребованная мат. помощь (заявительный принцип обращения в службу занятости)</t>
  </si>
  <si>
    <t>Остаток 40,9 тыс. руб., в том числе: 3,3 тыс. руб. - экономия по банковским услугам; 37,6 тыс. руб. - не востребованная мат. помощь (заявительный принцип обращения в службу занятости)</t>
  </si>
  <si>
    <t>Экономия 396,8 тыс. руб. по результатам проведения конкурсных процедур</t>
  </si>
  <si>
    <t xml:space="preserve">Остаток средств 8,2 тыс рублей, в связи с сокращением фактического среднего периода участия граждан в мероприятии до 1 месяца (плановый период - 3 месяца) </t>
  </si>
  <si>
    <t xml:space="preserve">Непорсредственный результат не выполнен  из-за расторжения гос.контракта на проведение спец.оценки условий труда на 118 рабочих местах по причине допущенной ошибки в тех. задании (неверно указано место проведения спец.оценки).                        12.12.2019 г. заключен контракт на проведение работ по специальной оценки условий труда на 18 рабочих местах, расположенных в г. Краснодаре. </t>
  </si>
  <si>
    <t>Остаток в сумме 664,8 тыс. руб., в том числе 40,3 тыс. руб. в результате не предоставления гражданами документов, подтверждающих расходы на оплату проезда к месту обучения и обратно; 624,5 тыс. руб. - экономия по результатам конкурсных процедур</t>
  </si>
  <si>
    <t>3,2 тыс рублей экономия по доставке и перечислению</t>
  </si>
  <si>
    <t>Разработан приказ МТиСР КК от 17.09.2019 №1649 "О проведении месячника "Безопасный труд" в организациях агропромышленного комплекса КК; приказ МТиСР КК от 17.09.2019 № 1648 «О проведении краевого конкурса детских рисунков «Я выбираю безопасный труд». Постановлением главы администрации (губернатора) Краснодарского края от 14.10.2019 № 686 внесены изменения в постановление главы адм.(губернатора) КК от 21.12.2012 № 1591 "О формах и сроках представления информации о состоянии условий и охраны труда в организациях Краснодарского края".</t>
  </si>
  <si>
    <t>Экономия 1 075,2 тыс. рублей. Планируемый объем финансирования  сформирован по запросу отделения Пенсионного фонда России по Краснодарскому краю, которое в сентябре гарантировало использование предусмотренных средств  (невостребован-      ные средства ПФ)</t>
  </si>
  <si>
    <t xml:space="preserve">Остаток средств  98,0 тыс. рублей, сложившийся в результате расторжения гос.контракта по причине допущенной ошибки в тех.задании (неверно указано место проведения оценки)                               12.12.2019 заключен контракт на сумму 20,0 тыс. руб. </t>
  </si>
  <si>
    <t>государственных программ</t>
  </si>
  <si>
    <t xml:space="preserve">Начальник отдела реализации 
национальных проектов и </t>
  </si>
  <si>
    <t>Салатгереева Каралина Сайгитбаталовна, 259-65-04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</si>
</sst>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3000000000000007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2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6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0" xfId="0" applyFont="1" applyFill="1" applyAlignment="1"/>
    <xf numFmtId="0" fontId="34" fillId="2" borderId="0" xfId="0" applyFont="1" applyFill="1"/>
    <xf numFmtId="0" fontId="0" fillId="2" borderId="0" xfId="0" applyFill="1"/>
    <xf numFmtId="0" fontId="3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5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166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6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right"/>
    </xf>
    <xf numFmtId="166" fontId="14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6" fontId="9" fillId="2" borderId="1" xfId="0" applyNumberFormat="1" applyFont="1" applyFill="1" applyBorder="1" applyAlignment="1">
      <alignment horizontal="center" textRotation="90" wrapText="1"/>
    </xf>
    <xf numFmtId="166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" fontId="10" fillId="2" borderId="1" xfId="2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6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9" fontId="2" fillId="0" borderId="0" xfId="0" applyNumberFormat="1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4" fillId="2" borderId="1" xfId="10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166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166" fontId="10" fillId="2" borderId="1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5" fillId="2" borderId="1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top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5" fillId="5" borderId="0" xfId="0" applyFont="1" applyFill="1"/>
    <xf numFmtId="0" fontId="0" fillId="5" borderId="0" xfId="0" applyFill="1"/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right" vertical="center"/>
    </xf>
    <xf numFmtId="166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6" fontId="2" fillId="0" borderId="1" xfId="2" applyNumberFormat="1" applyFont="1" applyFill="1" applyBorder="1" applyAlignment="1">
      <alignment horizontal="right" vertical="center"/>
    </xf>
    <xf numFmtId="0" fontId="0" fillId="0" borderId="0" xfId="0" applyFill="1" applyBorder="1"/>
    <xf numFmtId="1" fontId="10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/>
    </xf>
    <xf numFmtId="166" fontId="1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0" fontId="17" fillId="2" borderId="1" xfId="1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166" fontId="17" fillId="2" borderId="0" xfId="0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 wrapText="1"/>
    </xf>
    <xf numFmtId="166" fontId="14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66" fontId="14" fillId="2" borderId="1" xfId="2" applyNumberFormat="1" applyFont="1" applyFill="1" applyBorder="1" applyAlignment="1">
      <alignment horizontal="center" vertical="center"/>
    </xf>
    <xf numFmtId="166" fontId="3" fillId="2" borderId="0" xfId="1" applyNumberFormat="1" applyFont="1" applyFill="1"/>
    <xf numFmtId="0" fontId="3" fillId="2" borderId="0" xfId="1" applyFont="1" applyFill="1"/>
    <xf numFmtId="166" fontId="14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0" fontId="4" fillId="2" borderId="1" xfId="1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6" xfId="3" applyNumberFormat="1" applyFont="1" applyFill="1" applyBorder="1" applyAlignment="1">
      <alignment horizontal="center" vertical="center" wrapText="1"/>
    </xf>
    <xf numFmtId="166" fontId="5" fillId="2" borderId="5" xfId="3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16" fillId="2" borderId="1" xfId="3" applyFont="1" applyFill="1" applyBorder="1" applyAlignment="1">
      <alignment horizontal="center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0" fontId="37" fillId="6" borderId="0" xfId="0" applyFont="1" applyFill="1"/>
    <xf numFmtId="0" fontId="38" fillId="6" borderId="0" xfId="1" applyFont="1" applyFill="1"/>
    <xf numFmtId="166" fontId="38" fillId="6" borderId="0" xfId="1" applyNumberFormat="1" applyFont="1" applyFill="1"/>
    <xf numFmtId="0" fontId="39" fillId="6" borderId="0" xfId="0" applyFont="1" applyFill="1"/>
    <xf numFmtId="0" fontId="2" fillId="2" borderId="1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/>
    <xf numFmtId="0" fontId="10" fillId="0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2" fillId="2" borderId="1" xfId="0" applyNumberFormat="1" applyFont="1" applyFill="1" applyBorder="1" applyAlignment="1">
      <alignment horizontal="center" vertical="center" wrapText="1"/>
    </xf>
    <xf numFmtId="0" fontId="43" fillId="2" borderId="0" xfId="1" applyFont="1" applyFill="1" applyAlignment="1">
      <alignment horizontal="center" vertical="center" wrapText="1"/>
    </xf>
    <xf numFmtId="166" fontId="40" fillId="0" borderId="1" xfId="2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2" fillId="0" borderId="0" xfId="1" applyFont="1" applyFill="1"/>
    <xf numFmtId="49" fontId="5" fillId="2" borderId="0" xfId="0" applyNumberFormat="1" applyFont="1" applyFill="1"/>
    <xf numFmtId="0" fontId="44" fillId="2" borderId="0" xfId="0" applyFont="1" applyFill="1" applyBorder="1" applyAlignment="1">
      <alignment horizontal="center"/>
    </xf>
    <xf numFmtId="166" fontId="41" fillId="2" borderId="1" xfId="2" applyNumberFormat="1" applyFont="1" applyFill="1" applyBorder="1" applyAlignment="1">
      <alignment horizontal="center" vertical="center" wrapText="1"/>
    </xf>
    <xf numFmtId="0" fontId="45" fillId="2" borderId="0" xfId="0" applyFont="1" applyFill="1"/>
    <xf numFmtId="0" fontId="45" fillId="2" borderId="0" xfId="0" applyFont="1" applyFill="1" applyAlignment="1">
      <alignment horizontal="left"/>
    </xf>
    <xf numFmtId="0" fontId="46" fillId="2" borderId="0" xfId="0" applyFont="1" applyFill="1"/>
    <xf numFmtId="0" fontId="46" fillId="0" borderId="0" xfId="0" applyFont="1" applyFill="1"/>
    <xf numFmtId="0" fontId="45" fillId="2" borderId="0" xfId="0" applyFont="1" applyFill="1" applyBorder="1" applyAlignment="1">
      <alignment horizontal="center"/>
    </xf>
    <xf numFmtId="0" fontId="45" fillId="0" borderId="0" xfId="0" applyFont="1" applyFill="1"/>
    <xf numFmtId="0" fontId="45" fillId="2" borderId="0" xfId="0" applyFont="1" applyFill="1" applyBorder="1" applyAlignment="1"/>
    <xf numFmtId="0" fontId="34" fillId="2" borderId="0" xfId="0" applyFont="1" applyFill="1" applyBorder="1"/>
    <xf numFmtId="0" fontId="33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45" fillId="2" borderId="0" xfId="0" applyFont="1" applyFill="1" applyAlignment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5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2" borderId="8" xfId="0" applyNumberFormat="1" applyFont="1" applyFill="1" applyBorder="1" applyAlignment="1">
      <alignment horizontal="center" vertical="top" wrapText="1"/>
    </xf>
    <xf numFmtId="166" fontId="4" fillId="2" borderId="9" xfId="0" applyNumberFormat="1" applyFont="1" applyFill="1" applyBorder="1" applyAlignment="1">
      <alignment horizontal="center" vertical="top" wrapText="1"/>
    </xf>
    <xf numFmtId="166" fontId="4" fillId="2" borderId="10" xfId="0" applyNumberFormat="1" applyFont="1" applyFill="1" applyBorder="1" applyAlignment="1">
      <alignment horizontal="center" vertical="top" wrapText="1"/>
    </xf>
    <xf numFmtId="166" fontId="4" fillId="2" borderId="11" xfId="0" applyNumberFormat="1" applyFont="1" applyFill="1" applyBorder="1" applyAlignment="1">
      <alignment horizontal="center" vertical="top" wrapText="1"/>
    </xf>
    <xf numFmtId="166" fontId="4" fillId="2" borderId="12" xfId="0" applyNumberFormat="1" applyFont="1" applyFill="1" applyBorder="1" applyAlignment="1">
      <alignment horizontal="center" vertical="top" wrapText="1"/>
    </xf>
    <xf numFmtId="166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6" fontId="4" fillId="0" borderId="2" xfId="0" applyNumberFormat="1" applyFont="1" applyFill="1" applyBorder="1" applyAlignment="1">
      <alignment horizontal="center"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166" fontId="4" fillId="0" borderId="3" xfId="0" applyNumberFormat="1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45" fillId="2" borderId="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top" wrapText="1"/>
    </xf>
    <xf numFmtId="0" fontId="30" fillId="2" borderId="0" xfId="0" applyFont="1" applyFill="1" applyAlignment="1">
      <alignment horizont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2" fillId="2" borderId="4" xfId="10" applyFont="1" applyFill="1" applyBorder="1" applyAlignment="1">
      <alignment horizontal="left" vertical="top" wrapText="1"/>
    </xf>
    <xf numFmtId="0" fontId="32" fillId="2" borderId="5" xfId="10" applyFont="1" applyFill="1" applyBorder="1" applyAlignment="1">
      <alignment horizontal="left" vertical="top" wrapText="1"/>
    </xf>
    <xf numFmtId="0" fontId="32" fillId="2" borderId="6" xfId="10" applyFont="1" applyFill="1" applyBorder="1" applyAlignment="1">
      <alignment horizontal="left" vertical="top" wrapText="1"/>
    </xf>
  </cellXfs>
  <cellStyles count="20">
    <cellStyle name="Comma [0]" xfId="4"/>
    <cellStyle name="Comma [0] 2" xfId="18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W94"/>
  <sheetViews>
    <sheetView view="pageBreakPreview" topLeftCell="A67" zoomScale="80" zoomScaleNormal="70" zoomScaleSheetLayoutView="80" zoomScalePageLayoutView="70" workbookViewId="0">
      <selection activeCell="U90" sqref="U90"/>
    </sheetView>
  </sheetViews>
  <sheetFormatPr defaultColWidth="9.140625" defaultRowHeight="23.25" x14ac:dyDescent="0.35"/>
  <cols>
    <col min="1" max="1" width="7.85546875" style="64" customWidth="1"/>
    <col min="2" max="2" width="24.28515625" style="64" customWidth="1"/>
    <col min="3" max="3" width="18.7109375" style="64" customWidth="1"/>
    <col min="4" max="4" width="11" style="64" customWidth="1"/>
    <col min="5" max="5" width="11.28515625" style="64" customWidth="1"/>
    <col min="6" max="7" width="4.28515625" style="64" customWidth="1"/>
    <col min="8" max="8" width="10.140625" style="64" customWidth="1"/>
    <col min="9" max="9" width="11.42578125" style="64" customWidth="1"/>
    <col min="10" max="10" width="7.28515625" style="64" customWidth="1"/>
    <col min="11" max="11" width="10.140625" style="64" customWidth="1"/>
    <col min="12" max="12" width="6" style="64" customWidth="1"/>
    <col min="13" max="13" width="14.42578125" style="64" customWidth="1"/>
    <col min="14" max="14" width="12.28515625" style="64" customWidth="1"/>
    <col min="15" max="15" width="4.28515625" style="64" customWidth="1"/>
    <col min="16" max="16" width="9.28515625" style="165" customWidth="1"/>
    <col min="17" max="17" width="4.28515625" style="64" customWidth="1"/>
    <col min="18" max="18" width="5.28515625" style="64" customWidth="1"/>
    <col min="19" max="19" width="10.140625" style="64" customWidth="1"/>
    <col min="20" max="20" width="13" style="62" customWidth="1"/>
    <col min="21" max="21" width="17" style="64" customWidth="1"/>
    <col min="22" max="22" width="15.5703125" style="64" customWidth="1"/>
    <col min="23" max="23" width="8.28515625" style="64" customWidth="1"/>
    <col min="24" max="24" width="11.7109375" style="64" customWidth="1"/>
    <col min="25" max="25" width="20.28515625" style="165" customWidth="1"/>
    <col min="26" max="26" width="12.28515625" style="64" customWidth="1"/>
    <col min="27" max="27" width="27.85546875" style="64" customWidth="1"/>
    <col min="28" max="28" width="14.140625" style="64" customWidth="1"/>
    <col min="29" max="29" width="9.28515625" style="64" bestFit="1" customWidth="1"/>
    <col min="30" max="30" width="20.5703125" style="231" customWidth="1"/>
    <col min="31" max="32" width="9.28515625" style="64" bestFit="1" customWidth="1"/>
    <col min="33" max="33" width="9.140625" style="64"/>
    <col min="34" max="34" width="9.28515625" style="64" bestFit="1" customWidth="1"/>
    <col min="35" max="16384" width="9.140625" style="64"/>
  </cols>
  <sheetData>
    <row r="1" spans="1:34" x14ac:dyDescent="0.35">
      <c r="A1" s="272" t="s">
        <v>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</row>
    <row r="2" spans="1:34" x14ac:dyDescent="0.35">
      <c r="A2" s="272" t="s">
        <v>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</row>
    <row r="3" spans="1:34" x14ac:dyDescent="0.35">
      <c r="A3" s="272" t="s">
        <v>145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</row>
    <row r="4" spans="1:34" x14ac:dyDescent="0.35">
      <c r="A4" s="273" t="s">
        <v>4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</row>
    <row r="5" spans="1:34" x14ac:dyDescent="0.35">
      <c r="A5" s="272" t="s">
        <v>457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</row>
    <row r="6" spans="1:34" x14ac:dyDescent="0.35">
      <c r="A6" s="274" t="s">
        <v>315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</row>
    <row r="7" spans="1:34" ht="3.75" customHeight="1" x14ac:dyDescent="0.35">
      <c r="B7" s="80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29"/>
    </row>
    <row r="8" spans="1:34" ht="27.75" customHeight="1" x14ac:dyDescent="0.35">
      <c r="A8" s="292" t="s">
        <v>220</v>
      </c>
      <c r="B8" s="279" t="s">
        <v>25</v>
      </c>
      <c r="C8" s="282" t="s">
        <v>8</v>
      </c>
      <c r="D8" s="286" t="s">
        <v>20</v>
      </c>
      <c r="E8" s="287"/>
      <c r="F8" s="287"/>
      <c r="G8" s="287"/>
      <c r="H8" s="288"/>
      <c r="I8" s="283" t="s">
        <v>26</v>
      </c>
      <c r="J8" s="284"/>
      <c r="K8" s="284"/>
      <c r="L8" s="284"/>
      <c r="M8" s="285"/>
      <c r="N8" s="286" t="s">
        <v>19</v>
      </c>
      <c r="O8" s="287"/>
      <c r="P8" s="287"/>
      <c r="Q8" s="287"/>
      <c r="R8" s="287"/>
      <c r="S8" s="288"/>
      <c r="T8" s="295" t="s">
        <v>223</v>
      </c>
      <c r="U8" s="275" t="s">
        <v>298</v>
      </c>
      <c r="V8" s="286" t="s">
        <v>12</v>
      </c>
      <c r="W8" s="287"/>
      <c r="X8" s="287"/>
      <c r="Y8" s="288"/>
      <c r="Z8" s="275" t="s">
        <v>224</v>
      </c>
      <c r="AA8" s="275" t="s">
        <v>225</v>
      </c>
    </row>
    <row r="9" spans="1:34" ht="42" customHeight="1" x14ac:dyDescent="0.35">
      <c r="A9" s="293"/>
      <c r="B9" s="280"/>
      <c r="C9" s="279"/>
      <c r="D9" s="289"/>
      <c r="E9" s="290"/>
      <c r="F9" s="290"/>
      <c r="G9" s="290"/>
      <c r="H9" s="291"/>
      <c r="I9" s="278" t="s">
        <v>29</v>
      </c>
      <c r="J9" s="278"/>
      <c r="K9" s="278"/>
      <c r="L9" s="278"/>
      <c r="M9" s="161" t="s">
        <v>21</v>
      </c>
      <c r="N9" s="289"/>
      <c r="O9" s="290"/>
      <c r="P9" s="290"/>
      <c r="Q9" s="290"/>
      <c r="R9" s="290"/>
      <c r="S9" s="291"/>
      <c r="T9" s="296"/>
      <c r="U9" s="276"/>
      <c r="V9" s="289"/>
      <c r="W9" s="290"/>
      <c r="X9" s="290"/>
      <c r="Y9" s="291"/>
      <c r="Z9" s="276"/>
      <c r="AA9" s="276"/>
    </row>
    <row r="10" spans="1:34" ht="99.75" customHeight="1" x14ac:dyDescent="0.35">
      <c r="A10" s="294"/>
      <c r="B10" s="281"/>
      <c r="C10" s="279"/>
      <c r="D10" s="63" t="s">
        <v>22</v>
      </c>
      <c r="E10" s="63" t="s">
        <v>0</v>
      </c>
      <c r="F10" s="81" t="s">
        <v>221</v>
      </c>
      <c r="G10" s="82" t="s">
        <v>1</v>
      </c>
      <c r="H10" s="82" t="s">
        <v>23</v>
      </c>
      <c r="I10" s="82" t="s">
        <v>22</v>
      </c>
      <c r="J10" s="81" t="s">
        <v>222</v>
      </c>
      <c r="K10" s="82" t="s">
        <v>0</v>
      </c>
      <c r="L10" s="81" t="s">
        <v>221</v>
      </c>
      <c r="M10" s="82" t="s">
        <v>1</v>
      </c>
      <c r="N10" s="82" t="s">
        <v>22</v>
      </c>
      <c r="O10" s="81" t="s">
        <v>222</v>
      </c>
      <c r="P10" s="82" t="s">
        <v>0</v>
      </c>
      <c r="Q10" s="81" t="s">
        <v>221</v>
      </c>
      <c r="R10" s="82" t="s">
        <v>1</v>
      </c>
      <c r="S10" s="82" t="s">
        <v>23</v>
      </c>
      <c r="T10" s="297"/>
      <c r="U10" s="277"/>
      <c r="V10" s="63" t="s">
        <v>15</v>
      </c>
      <c r="W10" s="63" t="s">
        <v>16</v>
      </c>
      <c r="X10" s="63" t="s">
        <v>17</v>
      </c>
      <c r="Y10" s="63" t="s">
        <v>18</v>
      </c>
      <c r="Z10" s="277"/>
      <c r="AA10" s="277"/>
      <c r="AB10" s="83"/>
    </row>
    <row r="11" spans="1:34" x14ac:dyDescent="0.35">
      <c r="A11" s="66">
        <v>1</v>
      </c>
      <c r="B11" s="66">
        <v>2</v>
      </c>
      <c r="C11" s="66">
        <v>3</v>
      </c>
      <c r="D11" s="66">
        <v>4</v>
      </c>
      <c r="E11" s="66">
        <v>5</v>
      </c>
      <c r="F11" s="66">
        <v>6</v>
      </c>
      <c r="G11" s="66">
        <v>7</v>
      </c>
      <c r="H11" s="66">
        <v>8</v>
      </c>
      <c r="I11" s="66">
        <v>9</v>
      </c>
      <c r="J11" s="66">
        <v>10</v>
      </c>
      <c r="K11" s="66">
        <v>11</v>
      </c>
      <c r="L11" s="66">
        <v>12</v>
      </c>
      <c r="M11" s="66">
        <v>13</v>
      </c>
      <c r="N11" s="66">
        <v>14</v>
      </c>
      <c r="O11" s="66">
        <v>15</v>
      </c>
      <c r="P11" s="66">
        <v>16</v>
      </c>
      <c r="Q11" s="66">
        <v>17</v>
      </c>
      <c r="R11" s="66">
        <v>18</v>
      </c>
      <c r="S11" s="66">
        <v>19</v>
      </c>
      <c r="T11" s="177">
        <v>20</v>
      </c>
      <c r="U11" s="66">
        <v>21</v>
      </c>
      <c r="V11" s="66">
        <v>22</v>
      </c>
      <c r="W11" s="66">
        <v>23</v>
      </c>
      <c r="X11" s="66">
        <v>24</v>
      </c>
      <c r="Y11" s="66">
        <v>25</v>
      </c>
      <c r="Z11" s="66">
        <v>31</v>
      </c>
      <c r="AA11" s="66">
        <v>32</v>
      </c>
    </row>
    <row r="12" spans="1:34" s="86" customFormat="1" ht="49.5" customHeight="1" x14ac:dyDescent="0.35">
      <c r="A12" s="84"/>
      <c r="B12" s="85" t="s">
        <v>30</v>
      </c>
      <c r="C12" s="84"/>
      <c r="D12" s="67">
        <f>D72+D13+D48</f>
        <v>1327074.5000000002</v>
      </c>
      <c r="E12" s="67">
        <f t="shared" ref="E12:N12" si="0">E72+E13+E48</f>
        <v>839129.69999999984</v>
      </c>
      <c r="F12" s="67">
        <f t="shared" si="0"/>
        <v>0</v>
      </c>
      <c r="G12" s="67">
        <f t="shared" si="0"/>
        <v>0</v>
      </c>
      <c r="H12" s="67">
        <f t="shared" si="0"/>
        <v>287182.8</v>
      </c>
      <c r="I12" s="67">
        <f t="shared" si="0"/>
        <v>1327074.5000000002</v>
      </c>
      <c r="J12" s="67">
        <f t="shared" si="0"/>
        <v>0</v>
      </c>
      <c r="K12" s="67">
        <f t="shared" si="0"/>
        <v>839129.69999999984</v>
      </c>
      <c r="L12" s="67">
        <f t="shared" si="0"/>
        <v>0</v>
      </c>
      <c r="M12" s="67">
        <f t="shared" si="0"/>
        <v>0</v>
      </c>
      <c r="N12" s="67">
        <f t="shared" si="0"/>
        <v>1233669.1000000001</v>
      </c>
      <c r="O12" s="67">
        <f t="shared" ref="O12" si="1">O72+O13+O48</f>
        <v>0</v>
      </c>
      <c r="P12" s="67">
        <f t="shared" ref="P12" si="2">P72+P13+P48</f>
        <v>832050.60000000009</v>
      </c>
      <c r="Q12" s="67">
        <f t="shared" ref="Q12" si="3">Q72+Q13+Q48</f>
        <v>0</v>
      </c>
      <c r="R12" s="67">
        <f t="shared" ref="R12" si="4">R72+R13+R48</f>
        <v>0</v>
      </c>
      <c r="S12" s="67">
        <f t="shared" ref="S12" si="5">S72+S13+S48</f>
        <v>300641.90000000002</v>
      </c>
      <c r="T12" s="67">
        <f t="shared" ref="T12" si="6">T72+T13+T48</f>
        <v>972257.6</v>
      </c>
      <c r="U12" s="69"/>
      <c r="V12" s="65" t="s">
        <v>11</v>
      </c>
      <c r="W12" s="65" t="s">
        <v>11</v>
      </c>
      <c r="X12" s="65" t="s">
        <v>11</v>
      </c>
      <c r="Y12" s="65" t="s">
        <v>11</v>
      </c>
      <c r="Z12" s="65" t="s">
        <v>11</v>
      </c>
      <c r="AA12" s="65" t="s">
        <v>11</v>
      </c>
      <c r="AD12" s="232"/>
    </row>
    <row r="13" spans="1:34" s="86" customFormat="1" ht="61.5" customHeight="1" x14ac:dyDescent="0.35">
      <c r="A13" s="87"/>
      <c r="B13" s="88" t="s">
        <v>36</v>
      </c>
      <c r="C13" s="89"/>
      <c r="D13" s="68">
        <f>SUM(D14:D47)</f>
        <v>1326766.7000000002</v>
      </c>
      <c r="E13" s="68">
        <f t="shared" ref="E13:T13" si="7">SUM(E14:E47)</f>
        <v>837248.49999999988</v>
      </c>
      <c r="F13" s="68">
        <f t="shared" si="7"/>
        <v>0</v>
      </c>
      <c r="G13" s="68">
        <f t="shared" si="7"/>
        <v>0</v>
      </c>
      <c r="H13" s="68">
        <f t="shared" si="7"/>
        <v>0</v>
      </c>
      <c r="I13" s="68">
        <f t="shared" si="7"/>
        <v>1326766.7000000002</v>
      </c>
      <c r="J13" s="68">
        <f t="shared" si="7"/>
        <v>0</v>
      </c>
      <c r="K13" s="68">
        <f t="shared" si="7"/>
        <v>837248.49999999988</v>
      </c>
      <c r="L13" s="68">
        <f t="shared" si="7"/>
        <v>0</v>
      </c>
      <c r="M13" s="68">
        <f t="shared" si="7"/>
        <v>0</v>
      </c>
      <c r="N13" s="68">
        <f t="shared" si="7"/>
        <v>1233378.4000000001</v>
      </c>
      <c r="O13" s="68">
        <f t="shared" si="7"/>
        <v>0</v>
      </c>
      <c r="P13" s="68">
        <f t="shared" si="7"/>
        <v>830304.20000000007</v>
      </c>
      <c r="Q13" s="68">
        <f t="shared" si="7"/>
        <v>0</v>
      </c>
      <c r="R13" s="68">
        <f t="shared" si="7"/>
        <v>0</v>
      </c>
      <c r="S13" s="68">
        <f t="shared" si="7"/>
        <v>0</v>
      </c>
      <c r="T13" s="68">
        <f t="shared" si="7"/>
        <v>971234.2</v>
      </c>
      <c r="U13" s="69"/>
      <c r="V13" s="65" t="s">
        <v>11</v>
      </c>
      <c r="W13" s="65" t="s">
        <v>11</v>
      </c>
      <c r="X13" s="65" t="s">
        <v>11</v>
      </c>
      <c r="Y13" s="65" t="s">
        <v>11</v>
      </c>
      <c r="Z13" s="65" t="s">
        <v>11</v>
      </c>
      <c r="AA13" s="65" t="s">
        <v>11</v>
      </c>
      <c r="AB13" s="86">
        <v>2063687.4</v>
      </c>
      <c r="AC13" s="94">
        <f>AB13-N13-P13</f>
        <v>4.7999999996973202</v>
      </c>
      <c r="AD13" s="232"/>
    </row>
    <row r="14" spans="1:34" s="86" customFormat="1" ht="79.5" customHeight="1" x14ac:dyDescent="0.35">
      <c r="A14" s="87" t="s">
        <v>32</v>
      </c>
      <c r="B14" s="90" t="s">
        <v>37</v>
      </c>
      <c r="C14" s="91" t="s">
        <v>148</v>
      </c>
      <c r="D14" s="69">
        <v>0</v>
      </c>
      <c r="E14" s="69">
        <v>2974.8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2974.8</v>
      </c>
      <c r="L14" s="69">
        <v>0</v>
      </c>
      <c r="M14" s="69">
        <v>0</v>
      </c>
      <c r="N14" s="69">
        <v>0</v>
      </c>
      <c r="O14" s="69">
        <v>0</v>
      </c>
      <c r="P14" s="167">
        <v>2969.8</v>
      </c>
      <c r="Q14" s="69">
        <v>0</v>
      </c>
      <c r="R14" s="69">
        <v>0</v>
      </c>
      <c r="S14" s="69">
        <v>0</v>
      </c>
      <c r="T14" s="167">
        <v>2696.8</v>
      </c>
      <c r="U14" s="190" t="s">
        <v>476</v>
      </c>
      <c r="V14" s="92" t="s">
        <v>150</v>
      </c>
      <c r="W14" s="92" t="s">
        <v>151</v>
      </c>
      <c r="X14" s="92">
        <v>178</v>
      </c>
      <c r="Y14" s="65">
        <v>223.7</v>
      </c>
      <c r="Z14" s="93" t="s">
        <v>303</v>
      </c>
      <c r="AA14" s="65" t="s">
        <v>11</v>
      </c>
      <c r="AC14" s="94"/>
      <c r="AD14" s="233">
        <f>I14+K14-N14-P14</f>
        <v>5</v>
      </c>
      <c r="AF14" s="94"/>
      <c r="AH14" s="94"/>
    </row>
    <row r="15" spans="1:34" s="86" customFormat="1" ht="81" customHeight="1" x14ac:dyDescent="0.35">
      <c r="A15" s="95" t="s">
        <v>33</v>
      </c>
      <c r="B15" s="90" t="s">
        <v>89</v>
      </c>
      <c r="C15" s="91" t="s">
        <v>148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167">
        <v>0</v>
      </c>
      <c r="U15" s="70" t="s">
        <v>11</v>
      </c>
      <c r="V15" s="92" t="s">
        <v>153</v>
      </c>
      <c r="W15" s="92" t="s">
        <v>152</v>
      </c>
      <c r="X15" s="92">
        <v>250</v>
      </c>
      <c r="Y15" s="65">
        <v>296.60000000000002</v>
      </c>
      <c r="Z15" s="93" t="s">
        <v>303</v>
      </c>
      <c r="AA15" s="65" t="s">
        <v>11</v>
      </c>
      <c r="AC15" s="94"/>
      <c r="AD15" s="233">
        <f t="shared" ref="AD15:AD77" si="8">I15+K15-N15-P15</f>
        <v>0</v>
      </c>
      <c r="AF15" s="94"/>
      <c r="AH15" s="94"/>
    </row>
    <row r="16" spans="1:34" s="86" customFormat="1" ht="51" x14ac:dyDescent="0.35">
      <c r="A16" s="95" t="s">
        <v>34</v>
      </c>
      <c r="B16" s="90" t="s">
        <v>90</v>
      </c>
      <c r="C16" s="91" t="s">
        <v>148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167">
        <v>0</v>
      </c>
      <c r="U16" s="70" t="s">
        <v>11</v>
      </c>
      <c r="V16" s="92" t="s">
        <v>154</v>
      </c>
      <c r="W16" s="92" t="s">
        <v>151</v>
      </c>
      <c r="X16" s="92">
        <v>110</v>
      </c>
      <c r="Y16" s="65">
        <v>119.8</v>
      </c>
      <c r="Z16" s="93" t="s">
        <v>303</v>
      </c>
      <c r="AA16" s="65" t="s">
        <v>11</v>
      </c>
      <c r="AC16" s="94"/>
      <c r="AD16" s="233">
        <f t="shared" si="8"/>
        <v>0</v>
      </c>
      <c r="AF16" s="94"/>
      <c r="AH16" s="94"/>
    </row>
    <row r="17" spans="1:34" s="86" customFormat="1" ht="76.5" x14ac:dyDescent="0.35">
      <c r="A17" s="95" t="s">
        <v>35</v>
      </c>
      <c r="B17" s="90" t="s">
        <v>91</v>
      </c>
      <c r="C17" s="91" t="s">
        <v>148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167">
        <v>0</v>
      </c>
      <c r="U17" s="70" t="s">
        <v>11</v>
      </c>
      <c r="V17" s="92" t="s">
        <v>155</v>
      </c>
      <c r="W17" s="92" t="s">
        <v>156</v>
      </c>
      <c r="X17" s="92" t="s">
        <v>157</v>
      </c>
      <c r="Y17" s="65" t="s">
        <v>471</v>
      </c>
      <c r="Z17" s="93" t="s">
        <v>303</v>
      </c>
      <c r="AA17" s="65" t="s">
        <v>11</v>
      </c>
      <c r="AC17" s="94"/>
      <c r="AD17" s="233">
        <f t="shared" si="8"/>
        <v>0</v>
      </c>
      <c r="AF17" s="94"/>
      <c r="AH17" s="94"/>
    </row>
    <row r="18" spans="1:34" s="86" customFormat="1" ht="207" customHeight="1" x14ac:dyDescent="0.35">
      <c r="A18" s="87" t="s">
        <v>38</v>
      </c>
      <c r="B18" s="90" t="s">
        <v>39</v>
      </c>
      <c r="C18" s="91" t="s">
        <v>148</v>
      </c>
      <c r="D18" s="69">
        <v>0</v>
      </c>
      <c r="E18" s="69">
        <v>1281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1281</v>
      </c>
      <c r="L18" s="69">
        <v>0</v>
      </c>
      <c r="M18" s="69">
        <v>0</v>
      </c>
      <c r="N18" s="69">
        <v>0</v>
      </c>
      <c r="O18" s="69">
        <v>0</v>
      </c>
      <c r="P18" s="167">
        <v>1251.9000000000001</v>
      </c>
      <c r="Q18" s="69">
        <v>0</v>
      </c>
      <c r="R18" s="69">
        <v>0</v>
      </c>
      <c r="S18" s="69">
        <v>0</v>
      </c>
      <c r="T18" s="167">
        <v>1251.9000000000001</v>
      </c>
      <c r="U18" s="190" t="s">
        <v>483</v>
      </c>
      <c r="V18" s="92" t="s">
        <v>150</v>
      </c>
      <c r="W18" s="92" t="s">
        <v>113</v>
      </c>
      <c r="X18" s="96">
        <v>118</v>
      </c>
      <c r="Y18" s="180">
        <v>197</v>
      </c>
      <c r="Z18" s="93" t="s">
        <v>303</v>
      </c>
      <c r="AA18" s="194" t="s">
        <v>11</v>
      </c>
      <c r="AC18" s="94"/>
      <c r="AD18" s="233">
        <f t="shared" si="8"/>
        <v>29.099999999999909</v>
      </c>
      <c r="AF18" s="94"/>
      <c r="AH18" s="94"/>
    </row>
    <row r="19" spans="1:34" s="86" customFormat="1" ht="51" x14ac:dyDescent="0.35">
      <c r="A19" s="87" t="s">
        <v>40</v>
      </c>
      <c r="B19" s="90" t="s">
        <v>41</v>
      </c>
      <c r="C19" s="91" t="s">
        <v>148</v>
      </c>
      <c r="D19" s="69">
        <v>0</v>
      </c>
      <c r="E19" s="69">
        <v>2896.4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2896.4</v>
      </c>
      <c r="L19" s="69">
        <v>0</v>
      </c>
      <c r="M19" s="69">
        <v>0</v>
      </c>
      <c r="N19" s="69">
        <v>0</v>
      </c>
      <c r="O19" s="69">
        <v>0</v>
      </c>
      <c r="P19" s="167">
        <v>2896.4</v>
      </c>
      <c r="Q19" s="69">
        <v>0</v>
      </c>
      <c r="R19" s="69">
        <v>0</v>
      </c>
      <c r="S19" s="69">
        <v>0</v>
      </c>
      <c r="T19" s="167">
        <v>2896.4</v>
      </c>
      <c r="U19" s="70" t="s">
        <v>11</v>
      </c>
      <c r="V19" s="92" t="s">
        <v>158</v>
      </c>
      <c r="W19" s="92" t="s">
        <v>151</v>
      </c>
      <c r="X19" s="92">
        <v>115</v>
      </c>
      <c r="Y19" s="65">
        <v>147.19999999999999</v>
      </c>
      <c r="Z19" s="93" t="s">
        <v>303</v>
      </c>
      <c r="AA19" s="65" t="s">
        <v>11</v>
      </c>
      <c r="AC19" s="94"/>
      <c r="AD19" s="233">
        <f t="shared" si="8"/>
        <v>0</v>
      </c>
      <c r="AF19" s="94"/>
      <c r="AH19" s="94"/>
    </row>
    <row r="20" spans="1:34" s="86" customFormat="1" ht="185.25" customHeight="1" x14ac:dyDescent="0.35">
      <c r="A20" s="87" t="s">
        <v>42</v>
      </c>
      <c r="B20" s="90" t="s">
        <v>43</v>
      </c>
      <c r="C20" s="91" t="s">
        <v>148</v>
      </c>
      <c r="D20" s="69">
        <v>0</v>
      </c>
      <c r="E20" s="69">
        <v>7932.7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7932.7</v>
      </c>
      <c r="L20" s="69">
        <v>0</v>
      </c>
      <c r="M20" s="69">
        <v>0</v>
      </c>
      <c r="N20" s="69">
        <v>0</v>
      </c>
      <c r="O20" s="69">
        <v>0</v>
      </c>
      <c r="P20" s="69">
        <v>7929.5</v>
      </c>
      <c r="Q20" s="69">
        <v>0</v>
      </c>
      <c r="R20" s="69">
        <v>0</v>
      </c>
      <c r="S20" s="69">
        <v>0</v>
      </c>
      <c r="T20" s="167">
        <v>7929.6</v>
      </c>
      <c r="U20" s="215" t="s">
        <v>515</v>
      </c>
      <c r="V20" s="92" t="s">
        <v>150</v>
      </c>
      <c r="W20" s="92" t="s">
        <v>113</v>
      </c>
      <c r="X20" s="96">
        <v>5300</v>
      </c>
      <c r="Y20" s="180">
        <v>6260</v>
      </c>
      <c r="Z20" s="93" t="s">
        <v>303</v>
      </c>
      <c r="AA20" s="65" t="s">
        <v>11</v>
      </c>
      <c r="AC20" s="94"/>
      <c r="AD20" s="233">
        <f t="shared" si="8"/>
        <v>3.1999999999998181</v>
      </c>
      <c r="AF20" s="94"/>
      <c r="AH20" s="94"/>
    </row>
    <row r="21" spans="1:34" s="86" customFormat="1" ht="210.75" customHeight="1" x14ac:dyDescent="0.35">
      <c r="A21" s="87" t="s">
        <v>44</v>
      </c>
      <c r="B21" s="90" t="s">
        <v>45</v>
      </c>
      <c r="C21" s="91" t="s">
        <v>148</v>
      </c>
      <c r="D21" s="69">
        <v>0</v>
      </c>
      <c r="E21" s="69">
        <v>27502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27502</v>
      </c>
      <c r="L21" s="69">
        <v>0</v>
      </c>
      <c r="M21" s="69">
        <v>0</v>
      </c>
      <c r="N21" s="69">
        <v>0</v>
      </c>
      <c r="O21" s="69">
        <v>0</v>
      </c>
      <c r="P21" s="167">
        <v>27429.9</v>
      </c>
      <c r="Q21" s="69">
        <v>0</v>
      </c>
      <c r="R21" s="69">
        <v>0</v>
      </c>
      <c r="S21" s="69">
        <v>0</v>
      </c>
      <c r="T21" s="167">
        <v>27429.9</v>
      </c>
      <c r="U21" s="190" t="s">
        <v>500</v>
      </c>
      <c r="V21" s="92" t="s">
        <v>150</v>
      </c>
      <c r="W21" s="92" t="s">
        <v>151</v>
      </c>
      <c r="X21" s="92">
        <v>22.2</v>
      </c>
      <c r="Y21" s="65">
        <v>28.6</v>
      </c>
      <c r="Z21" s="93" t="s">
        <v>303</v>
      </c>
      <c r="AA21" s="65" t="s">
        <v>11</v>
      </c>
      <c r="AC21" s="94"/>
      <c r="AD21" s="233">
        <f t="shared" si="8"/>
        <v>72.099999999998545</v>
      </c>
      <c r="AF21" s="94"/>
      <c r="AH21" s="94"/>
    </row>
    <row r="22" spans="1:34" s="86" customFormat="1" ht="334.15" customHeight="1" x14ac:dyDescent="0.35">
      <c r="A22" s="87" t="s">
        <v>46</v>
      </c>
      <c r="B22" s="90" t="s">
        <v>47</v>
      </c>
      <c r="C22" s="91" t="s">
        <v>148</v>
      </c>
      <c r="D22" s="69">
        <v>0</v>
      </c>
      <c r="E22" s="69">
        <v>145.5</v>
      </c>
      <c r="F22" s="69"/>
      <c r="G22" s="69">
        <v>0</v>
      </c>
      <c r="H22" s="69">
        <v>0</v>
      </c>
      <c r="I22" s="69">
        <v>0</v>
      </c>
      <c r="J22" s="69">
        <v>0</v>
      </c>
      <c r="K22" s="69">
        <v>145.5</v>
      </c>
      <c r="L22" s="69">
        <v>0</v>
      </c>
      <c r="M22" s="69">
        <v>0</v>
      </c>
      <c r="N22" s="69">
        <v>0</v>
      </c>
      <c r="O22" s="69">
        <v>0</v>
      </c>
      <c r="P22" s="167">
        <v>144</v>
      </c>
      <c r="Q22" s="69">
        <v>0</v>
      </c>
      <c r="R22" s="69">
        <v>0</v>
      </c>
      <c r="S22" s="69">
        <v>0</v>
      </c>
      <c r="T22" s="167">
        <v>144</v>
      </c>
      <c r="U22" s="190" t="s">
        <v>499</v>
      </c>
      <c r="V22" s="92" t="s">
        <v>150</v>
      </c>
      <c r="W22" s="92" t="s">
        <v>113</v>
      </c>
      <c r="X22" s="96">
        <v>168</v>
      </c>
      <c r="Y22" s="180">
        <v>55</v>
      </c>
      <c r="Z22" s="93" t="s">
        <v>213</v>
      </c>
      <c r="AA22" s="93" t="s">
        <v>467</v>
      </c>
      <c r="AC22" s="94"/>
      <c r="AD22" s="233">
        <f t="shared" si="8"/>
        <v>1.5</v>
      </c>
      <c r="AF22" s="94"/>
      <c r="AH22" s="94"/>
    </row>
    <row r="23" spans="1:34" s="86" customFormat="1" ht="322.89999999999998" customHeight="1" x14ac:dyDescent="0.35">
      <c r="A23" s="87" t="s">
        <v>48</v>
      </c>
      <c r="B23" s="90" t="s">
        <v>49</v>
      </c>
      <c r="C23" s="91" t="s">
        <v>148</v>
      </c>
      <c r="D23" s="69">
        <v>0</v>
      </c>
      <c r="E23" s="69">
        <v>52416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52416</v>
      </c>
      <c r="L23" s="69">
        <v>0</v>
      </c>
      <c r="M23" s="69">
        <v>0</v>
      </c>
      <c r="N23" s="69">
        <v>0</v>
      </c>
      <c r="O23" s="69">
        <v>0</v>
      </c>
      <c r="P23" s="167">
        <v>52416</v>
      </c>
      <c r="Q23" s="69">
        <v>0</v>
      </c>
      <c r="R23" s="69">
        <v>0</v>
      </c>
      <c r="S23" s="69">
        <v>0</v>
      </c>
      <c r="T23" s="167">
        <v>52416</v>
      </c>
      <c r="U23" s="65" t="s">
        <v>11</v>
      </c>
      <c r="V23" s="92" t="s">
        <v>150</v>
      </c>
      <c r="W23" s="92" t="s">
        <v>113</v>
      </c>
      <c r="X23" s="96">
        <v>273</v>
      </c>
      <c r="Y23" s="180">
        <v>273</v>
      </c>
      <c r="Z23" s="93" t="s">
        <v>303</v>
      </c>
      <c r="AA23" s="65" t="s">
        <v>11</v>
      </c>
      <c r="AC23" s="94"/>
      <c r="AD23" s="233">
        <f t="shared" si="8"/>
        <v>0</v>
      </c>
      <c r="AF23" s="94"/>
      <c r="AH23" s="94"/>
    </row>
    <row r="24" spans="1:34" s="86" customFormat="1" ht="102" x14ac:dyDescent="0.35">
      <c r="A24" s="95" t="s">
        <v>92</v>
      </c>
      <c r="B24" s="205" t="s">
        <v>465</v>
      </c>
      <c r="C24" s="217" t="s">
        <v>148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8">
        <v>0</v>
      </c>
      <c r="U24" s="65" t="s">
        <v>11</v>
      </c>
      <c r="V24" s="173" t="s">
        <v>159</v>
      </c>
      <c r="W24" s="173" t="s">
        <v>108</v>
      </c>
      <c r="X24" s="174">
        <v>5350</v>
      </c>
      <c r="Y24" s="175">
        <v>5596</v>
      </c>
      <c r="Z24" s="176" t="s">
        <v>303</v>
      </c>
      <c r="AA24" s="65" t="s">
        <v>11</v>
      </c>
      <c r="AC24" s="94"/>
      <c r="AD24" s="233">
        <f t="shared" si="8"/>
        <v>0</v>
      </c>
      <c r="AF24" s="94"/>
      <c r="AH24" s="94"/>
    </row>
    <row r="25" spans="1:34" s="86" customFormat="1" ht="288" customHeight="1" x14ac:dyDescent="0.35">
      <c r="A25" s="95" t="s">
        <v>281</v>
      </c>
      <c r="B25" s="90" t="s">
        <v>297</v>
      </c>
      <c r="C25" s="91" t="s">
        <v>148</v>
      </c>
      <c r="D25" s="69">
        <v>37500</v>
      </c>
      <c r="E25" s="69">
        <v>1973.7</v>
      </c>
      <c r="F25" s="69">
        <v>0</v>
      </c>
      <c r="G25" s="69">
        <v>0</v>
      </c>
      <c r="H25" s="69">
        <v>0</v>
      </c>
      <c r="I25" s="69">
        <v>37500</v>
      </c>
      <c r="J25" s="69"/>
      <c r="K25" s="69">
        <v>1973.7</v>
      </c>
      <c r="L25" s="69">
        <v>0</v>
      </c>
      <c r="M25" s="69">
        <v>0</v>
      </c>
      <c r="N25" s="167">
        <v>36064.9</v>
      </c>
      <c r="O25" s="167"/>
      <c r="P25" s="167">
        <v>1898.1</v>
      </c>
      <c r="Q25" s="69">
        <v>0</v>
      </c>
      <c r="R25" s="69">
        <v>0</v>
      </c>
      <c r="S25" s="69">
        <v>0</v>
      </c>
      <c r="T25" s="167">
        <v>37963</v>
      </c>
      <c r="U25" s="190" t="s">
        <v>481</v>
      </c>
      <c r="V25" s="92" t="s">
        <v>336</v>
      </c>
      <c r="W25" s="92" t="s">
        <v>108</v>
      </c>
      <c r="X25" s="96">
        <v>1</v>
      </c>
      <c r="Y25" s="180">
        <v>1</v>
      </c>
      <c r="Z25" s="93" t="s">
        <v>303</v>
      </c>
      <c r="AA25" s="65" t="s">
        <v>11</v>
      </c>
      <c r="AC25" s="94"/>
      <c r="AD25" s="233">
        <f t="shared" si="8"/>
        <v>1510.6999999999957</v>
      </c>
      <c r="AF25" s="94"/>
      <c r="AH25" s="94"/>
    </row>
    <row r="26" spans="1:34" s="86" customFormat="1" ht="160.5" customHeight="1" x14ac:dyDescent="0.35">
      <c r="A26" s="87" t="s">
        <v>50</v>
      </c>
      <c r="B26" s="90" t="s">
        <v>51</v>
      </c>
      <c r="C26" s="91" t="s">
        <v>148</v>
      </c>
      <c r="D26" s="69">
        <v>0</v>
      </c>
      <c r="E26" s="69">
        <v>1665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1665</v>
      </c>
      <c r="L26" s="69">
        <v>0</v>
      </c>
      <c r="M26" s="69">
        <v>0</v>
      </c>
      <c r="N26" s="69">
        <v>0</v>
      </c>
      <c r="O26" s="69">
        <v>0</v>
      </c>
      <c r="P26" s="167">
        <v>1662.2</v>
      </c>
      <c r="Q26" s="69">
        <v>0</v>
      </c>
      <c r="R26" s="69">
        <v>0</v>
      </c>
      <c r="S26" s="69">
        <v>0</v>
      </c>
      <c r="T26" s="167">
        <v>1662.2</v>
      </c>
      <c r="U26" s="190" t="s">
        <v>501</v>
      </c>
      <c r="V26" s="92" t="s">
        <v>160</v>
      </c>
      <c r="W26" s="92" t="s">
        <v>151</v>
      </c>
      <c r="X26" s="92">
        <v>225.5</v>
      </c>
      <c r="Y26" s="65">
        <v>309</v>
      </c>
      <c r="Z26" s="93" t="s">
        <v>303</v>
      </c>
      <c r="AA26" s="65" t="s">
        <v>11</v>
      </c>
      <c r="AC26" s="94"/>
      <c r="AD26" s="233">
        <f t="shared" si="8"/>
        <v>2.7999999999999545</v>
      </c>
      <c r="AF26" s="94"/>
      <c r="AH26" s="94"/>
    </row>
    <row r="27" spans="1:34" s="86" customFormat="1" ht="106.5" customHeight="1" x14ac:dyDescent="0.35">
      <c r="A27" s="87" t="s">
        <v>52</v>
      </c>
      <c r="B27" s="90" t="s">
        <v>53</v>
      </c>
      <c r="C27" s="91" t="s">
        <v>148</v>
      </c>
      <c r="D27" s="69">
        <v>0</v>
      </c>
      <c r="E27" s="69">
        <v>730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730</v>
      </c>
      <c r="L27" s="69">
        <v>0</v>
      </c>
      <c r="M27" s="69">
        <v>0</v>
      </c>
      <c r="N27" s="69">
        <v>0</v>
      </c>
      <c r="O27" s="69">
        <v>0</v>
      </c>
      <c r="P27" s="167">
        <v>728.3</v>
      </c>
      <c r="Q27" s="69">
        <v>0</v>
      </c>
      <c r="R27" s="69">
        <v>0</v>
      </c>
      <c r="S27" s="69">
        <v>0</v>
      </c>
      <c r="T27" s="167">
        <v>728.3</v>
      </c>
      <c r="U27" s="190" t="s">
        <v>502</v>
      </c>
      <c r="V27" s="92" t="s">
        <v>150</v>
      </c>
      <c r="W27" s="92" t="s">
        <v>151</v>
      </c>
      <c r="X27" s="92">
        <v>3.9</v>
      </c>
      <c r="Y27" s="65">
        <v>8.6999999999999993</v>
      </c>
      <c r="Z27" s="93" t="s">
        <v>303</v>
      </c>
      <c r="AA27" s="65" t="s">
        <v>11</v>
      </c>
      <c r="AC27" s="94"/>
      <c r="AD27" s="233">
        <f t="shared" si="8"/>
        <v>1.7000000000000455</v>
      </c>
      <c r="AF27" s="94"/>
      <c r="AH27" s="94"/>
    </row>
    <row r="28" spans="1:34" s="86" customFormat="1" ht="63.75" x14ac:dyDescent="0.35">
      <c r="A28" s="87" t="s">
        <v>54</v>
      </c>
      <c r="B28" s="90" t="s">
        <v>55</v>
      </c>
      <c r="C28" s="91" t="s">
        <v>148</v>
      </c>
      <c r="D28" s="69">
        <v>0</v>
      </c>
      <c r="E28" s="69">
        <v>269.3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269.3</v>
      </c>
      <c r="L28" s="69">
        <v>0</v>
      </c>
      <c r="M28" s="69">
        <v>0</v>
      </c>
      <c r="N28" s="69">
        <v>0</v>
      </c>
      <c r="O28" s="69">
        <v>0</v>
      </c>
      <c r="P28" s="167">
        <v>269.3</v>
      </c>
      <c r="Q28" s="69">
        <v>0</v>
      </c>
      <c r="R28" s="69">
        <v>0</v>
      </c>
      <c r="S28" s="69">
        <v>0</v>
      </c>
      <c r="T28" s="167">
        <v>269.3</v>
      </c>
      <c r="U28" s="194" t="s">
        <v>11</v>
      </c>
      <c r="V28" s="92" t="s">
        <v>150</v>
      </c>
      <c r="W28" s="92" t="s">
        <v>151</v>
      </c>
      <c r="X28" s="92">
        <v>3.9</v>
      </c>
      <c r="Y28" s="65">
        <v>8.1</v>
      </c>
      <c r="Z28" s="93" t="s">
        <v>303</v>
      </c>
      <c r="AA28" s="65" t="s">
        <v>11</v>
      </c>
      <c r="AC28" s="94"/>
      <c r="AD28" s="233">
        <f t="shared" si="8"/>
        <v>0</v>
      </c>
      <c r="AF28" s="94"/>
      <c r="AH28" s="94"/>
    </row>
    <row r="29" spans="1:34" s="86" customFormat="1" ht="239.25" customHeight="1" x14ac:dyDescent="0.35">
      <c r="A29" s="87" t="s">
        <v>56</v>
      </c>
      <c r="B29" s="90" t="s">
        <v>57</v>
      </c>
      <c r="C29" s="91" t="s">
        <v>148</v>
      </c>
      <c r="D29" s="69">
        <v>0</v>
      </c>
      <c r="E29" s="69">
        <v>48776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48776</v>
      </c>
      <c r="L29" s="69">
        <v>0</v>
      </c>
      <c r="M29" s="69">
        <v>0</v>
      </c>
      <c r="N29" s="69">
        <v>0</v>
      </c>
      <c r="O29" s="69">
        <v>0</v>
      </c>
      <c r="P29" s="167">
        <v>48111.199999999997</v>
      </c>
      <c r="Q29" s="69">
        <v>0</v>
      </c>
      <c r="R29" s="69">
        <v>0</v>
      </c>
      <c r="S29" s="69">
        <v>0</v>
      </c>
      <c r="T29" s="167">
        <v>48111.199999999997</v>
      </c>
      <c r="U29" s="190" t="s">
        <v>514</v>
      </c>
      <c r="V29" s="92" t="s">
        <v>150</v>
      </c>
      <c r="W29" s="92" t="s">
        <v>151</v>
      </c>
      <c r="X29" s="92">
        <v>4.7</v>
      </c>
      <c r="Y29" s="65">
        <v>5.2</v>
      </c>
      <c r="Z29" s="93" t="s">
        <v>303</v>
      </c>
      <c r="AA29" s="65" t="s">
        <v>11</v>
      </c>
      <c r="AC29" s="94"/>
      <c r="AD29" s="233">
        <f t="shared" si="8"/>
        <v>664.80000000000291</v>
      </c>
      <c r="AF29" s="94"/>
      <c r="AH29" s="94"/>
    </row>
    <row r="30" spans="1:34" s="86" customFormat="1" ht="131.25" customHeight="1" x14ac:dyDescent="0.35">
      <c r="A30" s="87" t="s">
        <v>58</v>
      </c>
      <c r="B30" s="90" t="s">
        <v>59</v>
      </c>
      <c r="C30" s="91" t="s">
        <v>148</v>
      </c>
      <c r="D30" s="69">
        <v>0</v>
      </c>
      <c r="E30" s="69">
        <v>1930.9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1930.9</v>
      </c>
      <c r="L30" s="69">
        <v>0</v>
      </c>
      <c r="M30" s="69">
        <v>0</v>
      </c>
      <c r="N30" s="69">
        <v>0</v>
      </c>
      <c r="O30" s="69">
        <v>0</v>
      </c>
      <c r="P30" s="167">
        <v>1803.3</v>
      </c>
      <c r="Q30" s="69">
        <v>0</v>
      </c>
      <c r="R30" s="69">
        <v>0</v>
      </c>
      <c r="S30" s="69">
        <v>0</v>
      </c>
      <c r="T30" s="167">
        <v>1803.3</v>
      </c>
      <c r="U30" s="190" t="s">
        <v>505</v>
      </c>
      <c r="V30" s="92" t="s">
        <v>161</v>
      </c>
      <c r="W30" s="92" t="s">
        <v>113</v>
      </c>
      <c r="X30" s="96">
        <v>223</v>
      </c>
      <c r="Y30" s="180">
        <v>247</v>
      </c>
      <c r="Z30" s="93" t="s">
        <v>303</v>
      </c>
      <c r="AA30" s="65" t="s">
        <v>11</v>
      </c>
      <c r="AC30" s="94"/>
      <c r="AD30" s="233">
        <f t="shared" si="8"/>
        <v>127.60000000000014</v>
      </c>
      <c r="AF30" s="94"/>
      <c r="AH30" s="94"/>
    </row>
    <row r="31" spans="1:34" s="86" customFormat="1" ht="190.5" customHeight="1" x14ac:dyDescent="0.35">
      <c r="A31" s="87" t="s">
        <v>60</v>
      </c>
      <c r="B31" s="90" t="s">
        <v>61</v>
      </c>
      <c r="C31" s="91" t="s">
        <v>148</v>
      </c>
      <c r="D31" s="69">
        <v>0</v>
      </c>
      <c r="E31" s="69">
        <v>1800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1800</v>
      </c>
      <c r="L31" s="69">
        <v>0</v>
      </c>
      <c r="M31" s="69">
        <v>0</v>
      </c>
      <c r="N31" s="69">
        <v>0</v>
      </c>
      <c r="O31" s="69">
        <v>0</v>
      </c>
      <c r="P31" s="167">
        <v>1762.2</v>
      </c>
      <c r="Q31" s="69">
        <v>0</v>
      </c>
      <c r="R31" s="69">
        <v>0</v>
      </c>
      <c r="S31" s="69">
        <v>0</v>
      </c>
      <c r="T31" s="167">
        <v>1762.2</v>
      </c>
      <c r="U31" s="190" t="s">
        <v>504</v>
      </c>
      <c r="V31" s="92" t="s">
        <v>161</v>
      </c>
      <c r="W31" s="92" t="s">
        <v>113</v>
      </c>
      <c r="X31" s="96">
        <v>150</v>
      </c>
      <c r="Y31" s="180">
        <v>227</v>
      </c>
      <c r="Z31" s="93" t="s">
        <v>303</v>
      </c>
      <c r="AA31" s="65" t="s">
        <v>11</v>
      </c>
      <c r="AC31" s="94"/>
      <c r="AD31" s="233">
        <f t="shared" si="8"/>
        <v>37.799999999999955</v>
      </c>
      <c r="AF31" s="94"/>
      <c r="AH31" s="94"/>
    </row>
    <row r="32" spans="1:34" s="86" customFormat="1" ht="183.75" customHeight="1" x14ac:dyDescent="0.35">
      <c r="A32" s="87" t="s">
        <v>282</v>
      </c>
      <c r="B32" s="90" t="s">
        <v>295</v>
      </c>
      <c r="C32" s="91" t="s">
        <v>148</v>
      </c>
      <c r="D32" s="69">
        <v>7843.2</v>
      </c>
      <c r="E32" s="69">
        <v>412.8</v>
      </c>
      <c r="F32" s="69">
        <v>0</v>
      </c>
      <c r="G32" s="69">
        <v>0</v>
      </c>
      <c r="H32" s="69">
        <v>0</v>
      </c>
      <c r="I32" s="69">
        <v>7843.2</v>
      </c>
      <c r="J32" s="69">
        <v>0</v>
      </c>
      <c r="K32" s="69">
        <v>412.8</v>
      </c>
      <c r="L32" s="69">
        <v>0</v>
      </c>
      <c r="M32" s="69">
        <v>0</v>
      </c>
      <c r="N32" s="69">
        <v>6382.8</v>
      </c>
      <c r="O32" s="69">
        <v>0</v>
      </c>
      <c r="P32" s="167">
        <v>335.9</v>
      </c>
      <c r="Q32" s="69">
        <v>0</v>
      </c>
      <c r="R32" s="69">
        <v>0</v>
      </c>
      <c r="S32" s="69">
        <v>0</v>
      </c>
      <c r="T32" s="167">
        <v>6718.7</v>
      </c>
      <c r="U32" s="190" t="s">
        <v>503</v>
      </c>
      <c r="V32" s="92" t="s">
        <v>161</v>
      </c>
      <c r="W32" s="92" t="s">
        <v>113</v>
      </c>
      <c r="X32" s="96">
        <v>100</v>
      </c>
      <c r="Y32" s="180">
        <v>456</v>
      </c>
      <c r="Z32" s="93" t="s">
        <v>303</v>
      </c>
      <c r="AA32" s="65" t="s">
        <v>11</v>
      </c>
      <c r="AC32" s="94"/>
      <c r="AD32" s="233">
        <f t="shared" si="8"/>
        <v>1537.2999999999997</v>
      </c>
      <c r="AF32" s="94"/>
      <c r="AH32" s="94"/>
    </row>
    <row r="33" spans="1:101" s="86" customFormat="1" ht="290.25" customHeight="1" x14ac:dyDescent="0.35">
      <c r="A33" s="87" t="s">
        <v>283</v>
      </c>
      <c r="B33" s="90" t="s">
        <v>296</v>
      </c>
      <c r="C33" s="91" t="s">
        <v>148</v>
      </c>
      <c r="D33" s="69">
        <v>112883.5</v>
      </c>
      <c r="E33" s="69">
        <v>5941.3</v>
      </c>
      <c r="F33" s="69">
        <v>0</v>
      </c>
      <c r="G33" s="69">
        <v>0</v>
      </c>
      <c r="H33" s="69">
        <v>0</v>
      </c>
      <c r="I33" s="69">
        <v>112883.5</v>
      </c>
      <c r="J33" s="69">
        <v>0</v>
      </c>
      <c r="K33" s="69">
        <v>5941.3</v>
      </c>
      <c r="L33" s="69">
        <v>0</v>
      </c>
      <c r="M33" s="69">
        <v>0</v>
      </c>
      <c r="N33" s="167">
        <v>24437.3</v>
      </c>
      <c r="O33" s="167"/>
      <c r="P33" s="167">
        <v>1286.2</v>
      </c>
      <c r="Q33" s="69">
        <v>0</v>
      </c>
      <c r="R33" s="69">
        <v>0</v>
      </c>
      <c r="S33" s="69">
        <v>0</v>
      </c>
      <c r="T33" s="69">
        <v>25923.5</v>
      </c>
      <c r="U33" s="254" t="s">
        <v>506</v>
      </c>
      <c r="V33" s="92" t="s">
        <v>161</v>
      </c>
      <c r="W33" s="92" t="s">
        <v>113</v>
      </c>
      <c r="X33" s="96">
        <v>1736</v>
      </c>
      <c r="Y33" s="180">
        <v>3281</v>
      </c>
      <c r="Z33" s="93" t="s">
        <v>303</v>
      </c>
      <c r="AA33" s="65" t="s">
        <v>11</v>
      </c>
      <c r="AC33" s="94"/>
      <c r="AD33" s="233">
        <f t="shared" si="8"/>
        <v>93101.3</v>
      </c>
      <c r="AF33" s="94"/>
      <c r="AH33" s="94"/>
    </row>
    <row r="34" spans="1:101" s="166" customFormat="1" ht="204.75" customHeight="1" x14ac:dyDescent="0.35">
      <c r="A34" s="87" t="s">
        <v>62</v>
      </c>
      <c r="B34" s="188" t="s">
        <v>63</v>
      </c>
      <c r="C34" s="189" t="s">
        <v>148</v>
      </c>
      <c r="D34" s="167">
        <v>1097904.3</v>
      </c>
      <c r="E34" s="167">
        <v>0</v>
      </c>
      <c r="F34" s="167">
        <v>0</v>
      </c>
      <c r="G34" s="167">
        <v>0</v>
      </c>
      <c r="H34" s="167">
        <v>0</v>
      </c>
      <c r="I34" s="167">
        <v>1097904.3</v>
      </c>
      <c r="J34" s="167">
        <v>0</v>
      </c>
      <c r="K34" s="167">
        <v>0</v>
      </c>
      <c r="L34" s="167">
        <v>0</v>
      </c>
      <c r="M34" s="167">
        <v>0</v>
      </c>
      <c r="N34" s="167">
        <v>1097842.8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5521.3</v>
      </c>
      <c r="U34" s="190" t="s">
        <v>507</v>
      </c>
      <c r="V34" s="190" t="s">
        <v>162</v>
      </c>
      <c r="W34" s="190" t="s">
        <v>151</v>
      </c>
      <c r="X34" s="190" t="s">
        <v>146</v>
      </c>
      <c r="Y34" s="191">
        <v>49641</v>
      </c>
      <c r="Z34" s="191" t="s">
        <v>303</v>
      </c>
      <c r="AA34" s="191"/>
      <c r="AB34" s="86"/>
      <c r="AC34" s="94"/>
      <c r="AD34" s="233">
        <f t="shared" si="8"/>
        <v>61.5</v>
      </c>
      <c r="AE34" s="86"/>
      <c r="AF34" s="94"/>
      <c r="AG34" s="86"/>
      <c r="AH34" s="94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</row>
    <row r="35" spans="1:101" s="166" customFormat="1" ht="171" customHeight="1" x14ac:dyDescent="0.35">
      <c r="A35" s="87" t="s">
        <v>64</v>
      </c>
      <c r="B35" s="188" t="s">
        <v>65</v>
      </c>
      <c r="C35" s="189" t="s">
        <v>148</v>
      </c>
      <c r="D35" s="167">
        <v>29167.3</v>
      </c>
      <c r="E35" s="167">
        <v>0</v>
      </c>
      <c r="F35" s="167">
        <v>0</v>
      </c>
      <c r="G35" s="167">
        <v>0</v>
      </c>
      <c r="H35" s="167">
        <v>0</v>
      </c>
      <c r="I35" s="167">
        <v>29167.3</v>
      </c>
      <c r="J35" s="167">
        <v>0</v>
      </c>
      <c r="K35" s="167">
        <v>0</v>
      </c>
      <c r="L35" s="167">
        <v>0</v>
      </c>
      <c r="M35" s="167">
        <v>0</v>
      </c>
      <c r="N35" s="167">
        <v>28760.6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28706.6</v>
      </c>
      <c r="U35" s="190" t="s">
        <v>508</v>
      </c>
      <c r="V35" s="190" t="s">
        <v>163</v>
      </c>
      <c r="W35" s="190" t="s">
        <v>113</v>
      </c>
      <c r="X35" s="190" t="s">
        <v>146</v>
      </c>
      <c r="Y35" s="192">
        <v>5235</v>
      </c>
      <c r="Z35" s="191" t="s">
        <v>303</v>
      </c>
      <c r="AA35" s="191"/>
      <c r="AB35" s="86"/>
      <c r="AC35" s="94"/>
      <c r="AD35" s="233">
        <f t="shared" si="8"/>
        <v>406.70000000000073</v>
      </c>
      <c r="AE35" s="86"/>
      <c r="AF35" s="94"/>
      <c r="AG35" s="86"/>
      <c r="AH35" s="94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</row>
    <row r="36" spans="1:101" s="166" customFormat="1" ht="304.5" customHeight="1" x14ac:dyDescent="0.35">
      <c r="A36" s="239" t="s">
        <v>66</v>
      </c>
      <c r="B36" s="188" t="s">
        <v>466</v>
      </c>
      <c r="C36" s="189" t="s">
        <v>148</v>
      </c>
      <c r="D36" s="167">
        <v>25900.1</v>
      </c>
      <c r="E36" s="167">
        <v>0</v>
      </c>
      <c r="F36" s="167">
        <v>0</v>
      </c>
      <c r="G36" s="167">
        <v>0</v>
      </c>
      <c r="H36" s="167">
        <v>0</v>
      </c>
      <c r="I36" s="167">
        <v>25900.1</v>
      </c>
      <c r="J36" s="167">
        <v>0</v>
      </c>
      <c r="K36" s="167">
        <v>0</v>
      </c>
      <c r="L36" s="167">
        <v>0</v>
      </c>
      <c r="M36" s="167">
        <v>0</v>
      </c>
      <c r="N36" s="167">
        <v>24824.9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24824.9</v>
      </c>
      <c r="U36" s="190" t="s">
        <v>517</v>
      </c>
      <c r="V36" s="190" t="s">
        <v>164</v>
      </c>
      <c r="W36" s="190" t="s">
        <v>113</v>
      </c>
      <c r="X36" s="190" t="s">
        <v>146</v>
      </c>
      <c r="Y36" s="193">
        <v>202</v>
      </c>
      <c r="Z36" s="191" t="s">
        <v>303</v>
      </c>
      <c r="AA36" s="191"/>
      <c r="AB36" s="86"/>
      <c r="AC36" s="94"/>
      <c r="AD36" s="233">
        <f t="shared" si="8"/>
        <v>1075.1999999999971</v>
      </c>
      <c r="AE36" s="86"/>
      <c r="AF36" s="94"/>
      <c r="AG36" s="86"/>
      <c r="AH36" s="94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</row>
    <row r="37" spans="1:101" s="166" customFormat="1" ht="176.25" customHeight="1" x14ac:dyDescent="0.35">
      <c r="A37" s="87" t="s">
        <v>67</v>
      </c>
      <c r="B37" s="188" t="s">
        <v>197</v>
      </c>
      <c r="C37" s="189" t="s">
        <v>148</v>
      </c>
      <c r="D37" s="167">
        <v>830</v>
      </c>
      <c r="E37" s="167">
        <v>0</v>
      </c>
      <c r="F37" s="167">
        <v>0</v>
      </c>
      <c r="G37" s="167">
        <v>0</v>
      </c>
      <c r="H37" s="167">
        <v>0</v>
      </c>
      <c r="I37" s="167">
        <v>830</v>
      </c>
      <c r="J37" s="167">
        <v>0</v>
      </c>
      <c r="K37" s="167">
        <v>0</v>
      </c>
      <c r="L37" s="167">
        <v>0</v>
      </c>
      <c r="M37" s="167">
        <v>0</v>
      </c>
      <c r="N37" s="167">
        <v>764.5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764.5</v>
      </c>
      <c r="U37" s="190" t="s">
        <v>509</v>
      </c>
      <c r="V37" s="190" t="s">
        <v>165</v>
      </c>
      <c r="W37" s="168" t="s">
        <v>113</v>
      </c>
      <c r="X37" s="168" t="s">
        <v>146</v>
      </c>
      <c r="Y37" s="238">
        <v>323</v>
      </c>
      <c r="Z37" s="191" t="s">
        <v>303</v>
      </c>
      <c r="AA37" s="191"/>
      <c r="AB37" s="86"/>
      <c r="AC37" s="94"/>
      <c r="AD37" s="233">
        <f t="shared" si="8"/>
        <v>65.5</v>
      </c>
      <c r="AE37" s="86"/>
      <c r="AF37" s="94"/>
      <c r="AG37" s="86"/>
      <c r="AH37" s="94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</row>
    <row r="38" spans="1:101" s="166" customFormat="1" ht="170.25" customHeight="1" x14ac:dyDescent="0.35">
      <c r="A38" s="87" t="s">
        <v>68</v>
      </c>
      <c r="B38" s="188" t="s">
        <v>217</v>
      </c>
      <c r="C38" s="189" t="s">
        <v>148</v>
      </c>
      <c r="D38" s="167">
        <v>330</v>
      </c>
      <c r="E38" s="167">
        <v>0</v>
      </c>
      <c r="F38" s="167">
        <v>0</v>
      </c>
      <c r="G38" s="167">
        <v>0</v>
      </c>
      <c r="H38" s="167">
        <v>0</v>
      </c>
      <c r="I38" s="167">
        <v>330</v>
      </c>
      <c r="J38" s="167">
        <v>0</v>
      </c>
      <c r="K38" s="167">
        <v>0</v>
      </c>
      <c r="L38" s="167">
        <v>0</v>
      </c>
      <c r="M38" s="167">
        <v>0</v>
      </c>
      <c r="N38" s="167">
        <v>289.10000000000002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289.10000000000002</v>
      </c>
      <c r="U38" s="190" t="s">
        <v>510</v>
      </c>
      <c r="V38" s="190" t="s">
        <v>166</v>
      </c>
      <c r="W38" s="168" t="s">
        <v>113</v>
      </c>
      <c r="X38" s="168" t="s">
        <v>146</v>
      </c>
      <c r="Y38" s="238">
        <v>219</v>
      </c>
      <c r="Z38" s="191" t="s">
        <v>303</v>
      </c>
      <c r="AA38" s="191"/>
      <c r="AB38" s="86"/>
      <c r="AC38" s="94"/>
      <c r="AD38" s="233">
        <f t="shared" si="8"/>
        <v>40.899999999999977</v>
      </c>
      <c r="AE38" s="86"/>
      <c r="AF38" s="94"/>
      <c r="AG38" s="86"/>
      <c r="AH38" s="94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</row>
    <row r="39" spans="1:101" s="166" customFormat="1" ht="222" customHeight="1" x14ac:dyDescent="0.35">
      <c r="A39" s="87" t="s">
        <v>353</v>
      </c>
      <c r="B39" s="188" t="s">
        <v>444</v>
      </c>
      <c r="C39" s="189" t="s">
        <v>148</v>
      </c>
      <c r="D39" s="167">
        <v>14408.3</v>
      </c>
      <c r="E39" s="167">
        <v>0</v>
      </c>
      <c r="F39" s="167">
        <v>0</v>
      </c>
      <c r="G39" s="167">
        <v>0</v>
      </c>
      <c r="H39" s="167">
        <v>0</v>
      </c>
      <c r="I39" s="167">
        <v>14408.3</v>
      </c>
      <c r="J39" s="167">
        <v>0</v>
      </c>
      <c r="K39" s="167">
        <v>0</v>
      </c>
      <c r="L39" s="167">
        <v>0</v>
      </c>
      <c r="M39" s="167">
        <v>0</v>
      </c>
      <c r="N39" s="167">
        <v>14011.5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69">
        <v>14011.5</v>
      </c>
      <c r="U39" s="190" t="s">
        <v>511</v>
      </c>
      <c r="V39" s="190" t="s">
        <v>354</v>
      </c>
      <c r="W39" s="168" t="s">
        <v>146</v>
      </c>
      <c r="X39" s="168" t="s">
        <v>146</v>
      </c>
      <c r="Y39" s="194" t="s">
        <v>146</v>
      </c>
      <c r="Z39" s="191" t="s">
        <v>303</v>
      </c>
      <c r="AA39" s="191"/>
      <c r="AB39" s="86"/>
      <c r="AC39" s="94"/>
      <c r="AD39" s="233">
        <f t="shared" si="8"/>
        <v>396.79999999999927</v>
      </c>
      <c r="AE39" s="86"/>
      <c r="AF39" s="94"/>
      <c r="AG39" s="86"/>
      <c r="AH39" s="94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</row>
    <row r="40" spans="1:101" s="86" customFormat="1" ht="298.5" customHeight="1" x14ac:dyDescent="0.35">
      <c r="A40" s="95" t="s">
        <v>93</v>
      </c>
      <c r="B40" s="90" t="s">
        <v>94</v>
      </c>
      <c r="C40" s="91" t="s">
        <v>148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167">
        <v>0</v>
      </c>
      <c r="Q40" s="69">
        <v>0</v>
      </c>
      <c r="R40" s="69">
        <v>0</v>
      </c>
      <c r="S40" s="69">
        <v>0</v>
      </c>
      <c r="T40" s="167">
        <v>0</v>
      </c>
      <c r="U40" s="65" t="s">
        <v>11</v>
      </c>
      <c r="V40" s="92" t="s">
        <v>167</v>
      </c>
      <c r="W40" s="92" t="s">
        <v>146</v>
      </c>
      <c r="X40" s="92" t="s">
        <v>146</v>
      </c>
      <c r="Y40" s="122" t="s">
        <v>441</v>
      </c>
      <c r="Z40" s="93" t="s">
        <v>303</v>
      </c>
      <c r="AA40" s="93"/>
      <c r="AC40" s="94"/>
      <c r="AD40" s="233">
        <f t="shared" si="8"/>
        <v>0</v>
      </c>
      <c r="AF40" s="94"/>
      <c r="AH40" s="94"/>
    </row>
    <row r="41" spans="1:101" s="86" customFormat="1" ht="409.5" customHeight="1" x14ac:dyDescent="0.35">
      <c r="A41" s="95" t="s">
        <v>95</v>
      </c>
      <c r="B41" s="90" t="s">
        <v>96</v>
      </c>
      <c r="C41" s="91" t="s">
        <v>148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167">
        <v>0</v>
      </c>
      <c r="Q41" s="69">
        <v>0</v>
      </c>
      <c r="R41" s="69">
        <v>0</v>
      </c>
      <c r="S41" s="69">
        <v>0</v>
      </c>
      <c r="T41" s="167">
        <v>0</v>
      </c>
      <c r="U41" s="65" t="s">
        <v>11</v>
      </c>
      <c r="V41" s="92" t="s">
        <v>168</v>
      </c>
      <c r="W41" s="92" t="s">
        <v>146</v>
      </c>
      <c r="X41" s="92" t="s">
        <v>146</v>
      </c>
      <c r="Y41" s="122" t="s">
        <v>339</v>
      </c>
      <c r="Z41" s="93" t="s">
        <v>303</v>
      </c>
      <c r="AA41" s="93"/>
      <c r="AC41" s="94"/>
      <c r="AD41" s="233">
        <f t="shared" si="8"/>
        <v>0</v>
      </c>
      <c r="AF41" s="94"/>
      <c r="AH41" s="94"/>
    </row>
    <row r="42" spans="1:101" s="86" customFormat="1" ht="147.75" customHeight="1" x14ac:dyDescent="0.35">
      <c r="A42" s="95" t="s">
        <v>97</v>
      </c>
      <c r="B42" s="90" t="s">
        <v>98</v>
      </c>
      <c r="C42" s="91" t="s">
        <v>148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167">
        <v>0</v>
      </c>
      <c r="Q42" s="69">
        <v>0</v>
      </c>
      <c r="R42" s="69">
        <v>0</v>
      </c>
      <c r="S42" s="69">
        <v>0</v>
      </c>
      <c r="T42" s="167">
        <v>0</v>
      </c>
      <c r="U42" s="65" t="s">
        <v>11</v>
      </c>
      <c r="V42" s="92" t="s">
        <v>169</v>
      </c>
      <c r="W42" s="92" t="s">
        <v>146</v>
      </c>
      <c r="X42" s="92" t="s">
        <v>146</v>
      </c>
      <c r="Y42" s="122" t="s">
        <v>442</v>
      </c>
      <c r="Z42" s="93" t="s">
        <v>303</v>
      </c>
      <c r="AA42" s="93"/>
      <c r="AC42" s="94"/>
      <c r="AD42" s="233">
        <f t="shared" si="8"/>
        <v>0</v>
      </c>
      <c r="AF42" s="94"/>
      <c r="AH42" s="94"/>
    </row>
    <row r="43" spans="1:101" s="86" customFormat="1" ht="281.25" customHeight="1" x14ac:dyDescent="0.35">
      <c r="A43" s="87" t="s">
        <v>439</v>
      </c>
      <c r="B43" s="90" t="s">
        <v>69</v>
      </c>
      <c r="C43" s="91" t="s">
        <v>148</v>
      </c>
      <c r="D43" s="69">
        <v>0</v>
      </c>
      <c r="E43" s="167">
        <v>676856.5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69">
        <v>676856.5</v>
      </c>
      <c r="L43" s="69">
        <v>0</v>
      </c>
      <c r="M43" s="69">
        <v>0</v>
      </c>
      <c r="N43" s="69">
        <v>0</v>
      </c>
      <c r="O43" s="69">
        <v>0</v>
      </c>
      <c r="P43" s="167">
        <v>675673.59999999998</v>
      </c>
      <c r="Q43" s="69">
        <v>0</v>
      </c>
      <c r="R43" s="69">
        <v>0</v>
      </c>
      <c r="S43" s="69">
        <v>0</v>
      </c>
      <c r="T43" s="69">
        <v>675673.59999999998</v>
      </c>
      <c r="U43" s="215" t="s">
        <v>484</v>
      </c>
      <c r="V43" s="92" t="s">
        <v>170</v>
      </c>
      <c r="W43" s="92" t="s">
        <v>146</v>
      </c>
      <c r="X43" s="92" t="s">
        <v>146</v>
      </c>
      <c r="Y43" s="122" t="s">
        <v>146</v>
      </c>
      <c r="Z43" s="93" t="s">
        <v>303</v>
      </c>
      <c r="AA43" s="93"/>
      <c r="AC43" s="94"/>
      <c r="AD43" s="233">
        <f t="shared" si="8"/>
        <v>1182.9000000000233</v>
      </c>
      <c r="AF43" s="94"/>
      <c r="AH43" s="94"/>
    </row>
    <row r="44" spans="1:101" s="86" customFormat="1" ht="102" x14ac:dyDescent="0.35">
      <c r="A44" s="87" t="s">
        <v>147</v>
      </c>
      <c r="B44" s="90" t="s">
        <v>184</v>
      </c>
      <c r="C44" s="91" t="s">
        <v>148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167">
        <v>0</v>
      </c>
      <c r="U44" s="65" t="s">
        <v>11</v>
      </c>
      <c r="V44" s="92" t="s">
        <v>186</v>
      </c>
      <c r="W44" s="92" t="s">
        <v>172</v>
      </c>
      <c r="X44" s="96">
        <v>1</v>
      </c>
      <c r="Y44" s="181" t="s">
        <v>443</v>
      </c>
      <c r="Z44" s="93" t="s">
        <v>303</v>
      </c>
      <c r="AA44" s="93"/>
      <c r="AC44" s="94"/>
      <c r="AD44" s="233">
        <f t="shared" si="8"/>
        <v>0</v>
      </c>
      <c r="AF44" s="94"/>
      <c r="AH44" s="94"/>
    </row>
    <row r="45" spans="1:101" s="86" customFormat="1" ht="80.45" customHeight="1" x14ac:dyDescent="0.35">
      <c r="A45" s="87" t="s">
        <v>86</v>
      </c>
      <c r="B45" s="90" t="s">
        <v>185</v>
      </c>
      <c r="C45" s="91" t="s">
        <v>148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167">
        <v>0</v>
      </c>
      <c r="U45" s="65" t="s">
        <v>11</v>
      </c>
      <c r="V45" s="92" t="s">
        <v>187</v>
      </c>
      <c r="W45" s="92" t="s">
        <v>152</v>
      </c>
      <c r="X45" s="96">
        <v>237</v>
      </c>
      <c r="Y45" s="65">
        <v>284.3</v>
      </c>
      <c r="Z45" s="93" t="s">
        <v>303</v>
      </c>
      <c r="AA45" s="93"/>
      <c r="AC45" s="94"/>
      <c r="AD45" s="233">
        <f t="shared" si="8"/>
        <v>0</v>
      </c>
      <c r="AF45" s="94"/>
      <c r="AH45" s="94"/>
    </row>
    <row r="46" spans="1:101" s="86" customFormat="1" ht="168" customHeight="1" x14ac:dyDescent="0.35">
      <c r="A46" s="87" t="s">
        <v>88</v>
      </c>
      <c r="B46" s="90" t="s">
        <v>188</v>
      </c>
      <c r="C46" s="91" t="s">
        <v>148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167">
        <v>0</v>
      </c>
      <c r="U46" s="65" t="s">
        <v>11</v>
      </c>
      <c r="V46" s="92" t="s">
        <v>189</v>
      </c>
      <c r="W46" s="92" t="s">
        <v>146</v>
      </c>
      <c r="X46" s="96" t="s">
        <v>146</v>
      </c>
      <c r="Y46" s="181">
        <v>6499</v>
      </c>
      <c r="Z46" s="93" t="s">
        <v>303</v>
      </c>
      <c r="AA46" s="93"/>
      <c r="AC46" s="94"/>
      <c r="AD46" s="233">
        <f t="shared" si="8"/>
        <v>0</v>
      </c>
      <c r="AF46" s="94"/>
      <c r="AH46" s="94"/>
    </row>
    <row r="47" spans="1:101" s="86" customFormat="1" ht="240" customHeight="1" x14ac:dyDescent="0.35">
      <c r="A47" s="87" t="s">
        <v>271</v>
      </c>
      <c r="B47" s="90" t="s">
        <v>272</v>
      </c>
      <c r="C47" s="91" t="s">
        <v>148</v>
      </c>
      <c r="D47" s="69">
        <v>0</v>
      </c>
      <c r="E47" s="69">
        <v>1744.6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1744.6</v>
      </c>
      <c r="L47" s="69">
        <v>0</v>
      </c>
      <c r="M47" s="69">
        <v>0</v>
      </c>
      <c r="N47" s="69">
        <v>0</v>
      </c>
      <c r="O47" s="69">
        <v>0</v>
      </c>
      <c r="P47" s="167">
        <v>1736.4</v>
      </c>
      <c r="Q47" s="69">
        <v>0</v>
      </c>
      <c r="R47" s="69">
        <v>0</v>
      </c>
      <c r="S47" s="69">
        <v>0</v>
      </c>
      <c r="T47" s="167">
        <v>1736.4</v>
      </c>
      <c r="U47" s="190" t="s">
        <v>512</v>
      </c>
      <c r="V47" s="92" t="s">
        <v>273</v>
      </c>
      <c r="W47" s="92" t="s">
        <v>113</v>
      </c>
      <c r="X47" s="96">
        <v>40</v>
      </c>
      <c r="Y47" s="180">
        <v>46</v>
      </c>
      <c r="Z47" s="93" t="s">
        <v>303</v>
      </c>
      <c r="AA47" s="191" t="s">
        <v>11</v>
      </c>
      <c r="AC47" s="94"/>
      <c r="AD47" s="233">
        <f t="shared" si="8"/>
        <v>8.1999999999998181</v>
      </c>
      <c r="AF47" s="94"/>
      <c r="AH47" s="94"/>
    </row>
    <row r="48" spans="1:101" s="210" customFormat="1" ht="89.25" customHeight="1" x14ac:dyDescent="0.35">
      <c r="A48" s="206"/>
      <c r="B48" s="203" t="s">
        <v>70</v>
      </c>
      <c r="C48" s="207" t="s">
        <v>148</v>
      </c>
      <c r="D48" s="68">
        <v>0</v>
      </c>
      <c r="E48" s="68">
        <f>SUM(E49:E71)</f>
        <v>1784</v>
      </c>
      <c r="F48" s="68">
        <v>0</v>
      </c>
      <c r="G48" s="68">
        <v>0</v>
      </c>
      <c r="H48" s="68">
        <v>287182.8</v>
      </c>
      <c r="I48" s="68">
        <v>0</v>
      </c>
      <c r="J48" s="68">
        <v>0</v>
      </c>
      <c r="K48" s="68">
        <f>SUM(K49:K71)</f>
        <v>1784</v>
      </c>
      <c r="L48" s="68">
        <v>0</v>
      </c>
      <c r="M48" s="68">
        <v>0</v>
      </c>
      <c r="N48" s="68">
        <v>0</v>
      </c>
      <c r="O48" s="68">
        <v>0</v>
      </c>
      <c r="P48" s="68">
        <f>SUM(P49:P71)</f>
        <v>1654.5</v>
      </c>
      <c r="Q48" s="68">
        <v>0</v>
      </c>
      <c r="R48" s="68">
        <v>0</v>
      </c>
      <c r="S48" s="68">
        <f>S61</f>
        <v>300641.90000000002</v>
      </c>
      <c r="T48" s="68">
        <f>T51+T71</f>
        <v>877</v>
      </c>
      <c r="U48" s="68"/>
      <c r="V48" s="208"/>
      <c r="W48" s="208"/>
      <c r="X48" s="208"/>
      <c r="Y48" s="211"/>
      <c r="Z48" s="204"/>
      <c r="AA48" s="204"/>
      <c r="AC48" s="209"/>
      <c r="AD48" s="233">
        <f t="shared" si="8"/>
        <v>129.5</v>
      </c>
      <c r="AF48" s="209"/>
      <c r="AH48" s="209"/>
    </row>
    <row r="49" spans="1:34" s="86" customFormat="1" ht="129" customHeight="1" x14ac:dyDescent="0.35">
      <c r="A49" s="95" t="s">
        <v>32</v>
      </c>
      <c r="B49" s="90" t="s">
        <v>71</v>
      </c>
      <c r="C49" s="91" t="s">
        <v>148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167">
        <v>0</v>
      </c>
      <c r="U49" s="65" t="s">
        <v>11</v>
      </c>
      <c r="V49" s="97" t="s">
        <v>274</v>
      </c>
      <c r="W49" s="92" t="s">
        <v>103</v>
      </c>
      <c r="X49" s="215" t="s">
        <v>452</v>
      </c>
      <c r="Y49" s="218" t="s">
        <v>453</v>
      </c>
      <c r="Z49" s="93" t="s">
        <v>303</v>
      </c>
      <c r="AA49" s="65"/>
      <c r="AC49" s="94"/>
      <c r="AD49" s="233">
        <f t="shared" si="8"/>
        <v>0</v>
      </c>
      <c r="AF49" s="94"/>
      <c r="AH49" s="94"/>
    </row>
    <row r="50" spans="1:34" s="86" customFormat="1" ht="210.75" customHeight="1" x14ac:dyDescent="0.35">
      <c r="A50" s="95" t="s">
        <v>33</v>
      </c>
      <c r="B50" s="90" t="s">
        <v>72</v>
      </c>
      <c r="C50" s="91" t="s">
        <v>148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167">
        <v>0</v>
      </c>
      <c r="U50" s="65" t="s">
        <v>11</v>
      </c>
      <c r="V50" s="14" t="s">
        <v>171</v>
      </c>
      <c r="W50" s="92" t="s">
        <v>172</v>
      </c>
      <c r="X50" s="96">
        <v>260</v>
      </c>
      <c r="Y50" s="122">
        <v>298</v>
      </c>
      <c r="Z50" s="216" t="s">
        <v>303</v>
      </c>
      <c r="AA50" s="93"/>
      <c r="AC50" s="94"/>
      <c r="AD50" s="233">
        <f t="shared" si="8"/>
        <v>0</v>
      </c>
      <c r="AF50" s="94"/>
      <c r="AH50" s="94"/>
    </row>
    <row r="51" spans="1:34" s="86" customFormat="1" ht="174.6" customHeight="1" x14ac:dyDescent="0.35">
      <c r="A51" s="95" t="s">
        <v>191</v>
      </c>
      <c r="B51" s="90" t="s">
        <v>275</v>
      </c>
      <c r="C51" s="91" t="s">
        <v>148</v>
      </c>
      <c r="D51" s="69">
        <v>0</v>
      </c>
      <c r="E51" s="69">
        <v>287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287</v>
      </c>
      <c r="L51" s="69">
        <v>0</v>
      </c>
      <c r="M51" s="69">
        <v>0</v>
      </c>
      <c r="N51" s="69">
        <v>0</v>
      </c>
      <c r="O51" s="69">
        <v>0</v>
      </c>
      <c r="P51" s="167">
        <v>287</v>
      </c>
      <c r="Q51" s="69">
        <v>0</v>
      </c>
      <c r="R51" s="69">
        <v>0</v>
      </c>
      <c r="S51" s="69">
        <v>0</v>
      </c>
      <c r="T51" s="167">
        <v>287</v>
      </c>
      <c r="U51" s="65" t="s">
        <v>11</v>
      </c>
      <c r="V51" s="14" t="s">
        <v>276</v>
      </c>
      <c r="W51" s="215" t="s">
        <v>277</v>
      </c>
      <c r="X51" s="96">
        <v>287</v>
      </c>
      <c r="Y51" s="169">
        <v>298</v>
      </c>
      <c r="Z51" s="216" t="s">
        <v>303</v>
      </c>
      <c r="AA51" s="93"/>
      <c r="AC51" s="94"/>
      <c r="AD51" s="233">
        <f t="shared" si="8"/>
        <v>0</v>
      </c>
      <c r="AF51" s="94"/>
      <c r="AH51" s="94"/>
    </row>
    <row r="52" spans="1:34" s="86" customFormat="1" ht="174.6" customHeight="1" x14ac:dyDescent="0.35">
      <c r="A52" s="95" t="s">
        <v>194</v>
      </c>
      <c r="B52" s="90" t="s">
        <v>316</v>
      </c>
      <c r="C52" s="91" t="s">
        <v>329</v>
      </c>
      <c r="D52" s="69">
        <v>0</v>
      </c>
      <c r="E52" s="69">
        <v>569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569</v>
      </c>
      <c r="L52" s="69">
        <v>0</v>
      </c>
      <c r="M52" s="69">
        <v>0</v>
      </c>
      <c r="N52" s="69">
        <v>0</v>
      </c>
      <c r="O52" s="69">
        <v>0</v>
      </c>
      <c r="P52" s="69">
        <v>569</v>
      </c>
      <c r="Q52" s="69">
        <v>0</v>
      </c>
      <c r="R52" s="69">
        <v>0</v>
      </c>
      <c r="S52" s="69">
        <v>0</v>
      </c>
      <c r="T52" s="69">
        <v>569</v>
      </c>
      <c r="U52" s="65" t="s">
        <v>11</v>
      </c>
      <c r="V52" s="14" t="s">
        <v>276</v>
      </c>
      <c r="W52" s="92" t="s">
        <v>277</v>
      </c>
      <c r="X52" s="96">
        <v>569</v>
      </c>
      <c r="Y52" s="122">
        <v>569</v>
      </c>
      <c r="Z52" s="216" t="s">
        <v>303</v>
      </c>
      <c r="AA52" s="93"/>
      <c r="AC52" s="94"/>
      <c r="AD52" s="233">
        <f t="shared" si="8"/>
        <v>0</v>
      </c>
      <c r="AF52" s="94"/>
      <c r="AH52" s="94"/>
    </row>
    <row r="53" spans="1:34" s="86" customFormat="1" ht="156.75" customHeight="1" x14ac:dyDescent="0.35">
      <c r="A53" s="95" t="s">
        <v>320</v>
      </c>
      <c r="B53" s="90" t="s">
        <v>317</v>
      </c>
      <c r="C53" s="91" t="s">
        <v>330</v>
      </c>
      <c r="D53" s="69">
        <v>0</v>
      </c>
      <c r="E53" s="69">
        <v>7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7</v>
      </c>
      <c r="L53" s="69">
        <v>0</v>
      </c>
      <c r="M53" s="69">
        <v>0</v>
      </c>
      <c r="N53" s="69">
        <v>0</v>
      </c>
      <c r="O53" s="69">
        <v>0</v>
      </c>
      <c r="P53" s="69">
        <v>5</v>
      </c>
      <c r="Q53" s="69">
        <v>0</v>
      </c>
      <c r="R53" s="69">
        <v>0</v>
      </c>
      <c r="S53" s="69">
        <v>0</v>
      </c>
      <c r="T53" s="69">
        <v>5</v>
      </c>
      <c r="U53" s="190" t="s">
        <v>489</v>
      </c>
      <c r="V53" s="251" t="s">
        <v>276</v>
      </c>
      <c r="W53" s="190" t="s">
        <v>277</v>
      </c>
      <c r="X53" s="255">
        <v>7</v>
      </c>
      <c r="Y53" s="256">
        <v>5</v>
      </c>
      <c r="Z53" s="191" t="s">
        <v>213</v>
      </c>
      <c r="AA53" s="191" t="s">
        <v>475</v>
      </c>
      <c r="AB53" s="257"/>
      <c r="AC53" s="94"/>
      <c r="AD53" s="233">
        <f t="shared" si="8"/>
        <v>2</v>
      </c>
      <c r="AF53" s="94"/>
      <c r="AH53" s="94"/>
    </row>
    <row r="54" spans="1:34" s="86" customFormat="1" ht="162.75" customHeight="1" x14ac:dyDescent="0.35">
      <c r="A54" s="95" t="s">
        <v>319</v>
      </c>
      <c r="B54" s="90" t="s">
        <v>318</v>
      </c>
      <c r="C54" s="91" t="s">
        <v>331</v>
      </c>
      <c r="D54" s="69">
        <v>0</v>
      </c>
      <c r="E54" s="69">
        <v>82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82</v>
      </c>
      <c r="L54" s="69">
        <v>0</v>
      </c>
      <c r="M54" s="69">
        <v>0</v>
      </c>
      <c r="N54" s="69">
        <v>0</v>
      </c>
      <c r="O54" s="69">
        <v>0</v>
      </c>
      <c r="P54" s="69">
        <v>57.8</v>
      </c>
      <c r="Q54" s="69">
        <v>0</v>
      </c>
      <c r="R54" s="69">
        <v>0</v>
      </c>
      <c r="S54" s="69">
        <v>0</v>
      </c>
      <c r="T54" s="69">
        <v>57.8</v>
      </c>
      <c r="U54" s="190" t="s">
        <v>477</v>
      </c>
      <c r="V54" s="14" t="s">
        <v>276</v>
      </c>
      <c r="W54" s="92" t="s">
        <v>277</v>
      </c>
      <c r="X54" s="96">
        <v>82</v>
      </c>
      <c r="Y54" s="122">
        <v>82</v>
      </c>
      <c r="Z54" s="216" t="s">
        <v>303</v>
      </c>
      <c r="AA54" s="216" t="s">
        <v>11</v>
      </c>
      <c r="AC54" s="94"/>
      <c r="AD54" s="233">
        <f t="shared" si="8"/>
        <v>24.200000000000003</v>
      </c>
      <c r="AF54" s="94"/>
      <c r="AH54" s="94"/>
    </row>
    <row r="55" spans="1:34" s="86" customFormat="1" ht="174.6" customHeight="1" x14ac:dyDescent="0.35">
      <c r="A55" s="95" t="s">
        <v>321</v>
      </c>
      <c r="B55" s="90" t="s">
        <v>322</v>
      </c>
      <c r="C55" s="91" t="s">
        <v>149</v>
      </c>
      <c r="D55" s="69">
        <v>0</v>
      </c>
      <c r="E55" s="69">
        <v>58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58</v>
      </c>
      <c r="L55" s="69">
        <v>0</v>
      </c>
      <c r="M55" s="69">
        <v>0</v>
      </c>
      <c r="N55" s="69">
        <v>0</v>
      </c>
      <c r="O55" s="69">
        <v>0</v>
      </c>
      <c r="P55" s="69">
        <v>57.7</v>
      </c>
      <c r="Q55" s="69">
        <v>0</v>
      </c>
      <c r="R55" s="69">
        <v>0</v>
      </c>
      <c r="S55" s="69">
        <v>0</v>
      </c>
      <c r="T55" s="69">
        <v>57.7</v>
      </c>
      <c r="U55" s="190" t="s">
        <v>478</v>
      </c>
      <c r="V55" s="14" t="s">
        <v>276</v>
      </c>
      <c r="W55" s="92" t="s">
        <v>277</v>
      </c>
      <c r="X55" s="96">
        <v>58</v>
      </c>
      <c r="Y55" s="122">
        <v>102</v>
      </c>
      <c r="Z55" s="216" t="s">
        <v>303</v>
      </c>
      <c r="AA55" s="216" t="s">
        <v>11</v>
      </c>
      <c r="AC55" s="94"/>
      <c r="AD55" s="233">
        <f t="shared" si="8"/>
        <v>0.29999999999999716</v>
      </c>
      <c r="AF55" s="94"/>
      <c r="AH55" s="94"/>
    </row>
    <row r="56" spans="1:34" s="86" customFormat="1" ht="174.6" customHeight="1" x14ac:dyDescent="0.35">
      <c r="A56" s="95" t="s">
        <v>323</v>
      </c>
      <c r="B56" s="90" t="s">
        <v>324</v>
      </c>
      <c r="C56" s="91" t="s">
        <v>332</v>
      </c>
      <c r="D56" s="69">
        <v>0</v>
      </c>
      <c r="E56" s="69">
        <v>9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9</v>
      </c>
      <c r="L56" s="69">
        <v>0</v>
      </c>
      <c r="M56" s="69">
        <v>0</v>
      </c>
      <c r="N56" s="69">
        <v>0</v>
      </c>
      <c r="O56" s="69">
        <v>0</v>
      </c>
      <c r="P56" s="69">
        <v>9</v>
      </c>
      <c r="Q56" s="69">
        <v>0</v>
      </c>
      <c r="R56" s="69">
        <v>0</v>
      </c>
      <c r="S56" s="69">
        <v>0</v>
      </c>
      <c r="T56" s="69">
        <v>9</v>
      </c>
      <c r="U56" s="65" t="s">
        <v>11</v>
      </c>
      <c r="V56" s="14" t="s">
        <v>276</v>
      </c>
      <c r="W56" s="92" t="s">
        <v>277</v>
      </c>
      <c r="X56" s="96">
        <v>9</v>
      </c>
      <c r="Y56" s="122">
        <v>9</v>
      </c>
      <c r="Z56" s="216" t="s">
        <v>303</v>
      </c>
      <c r="AA56" s="93"/>
      <c r="AC56" s="94"/>
      <c r="AD56" s="233">
        <f t="shared" si="8"/>
        <v>0</v>
      </c>
      <c r="AF56" s="94"/>
      <c r="AH56" s="94"/>
    </row>
    <row r="57" spans="1:34" s="86" customFormat="1" ht="219.75" customHeight="1" x14ac:dyDescent="0.35">
      <c r="A57" s="95" t="s">
        <v>325</v>
      </c>
      <c r="B57" s="90" t="s">
        <v>326</v>
      </c>
      <c r="C57" s="91" t="s">
        <v>333</v>
      </c>
      <c r="D57" s="69">
        <v>0</v>
      </c>
      <c r="E57" s="69">
        <v>64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64</v>
      </c>
      <c r="L57" s="69">
        <v>0</v>
      </c>
      <c r="M57" s="69">
        <v>0</v>
      </c>
      <c r="N57" s="69">
        <v>0</v>
      </c>
      <c r="O57" s="69">
        <v>0</v>
      </c>
      <c r="P57" s="69">
        <v>59</v>
      </c>
      <c r="Q57" s="69">
        <v>0</v>
      </c>
      <c r="R57" s="69">
        <v>0</v>
      </c>
      <c r="S57" s="69">
        <v>0</v>
      </c>
      <c r="T57" s="69">
        <v>59</v>
      </c>
      <c r="U57" s="215" t="s">
        <v>485</v>
      </c>
      <c r="V57" s="14" t="s">
        <v>276</v>
      </c>
      <c r="W57" s="92" t="s">
        <v>277</v>
      </c>
      <c r="X57" s="96">
        <v>64</v>
      </c>
      <c r="Y57" s="122">
        <v>59</v>
      </c>
      <c r="Z57" s="93" t="s">
        <v>213</v>
      </c>
      <c r="AA57" s="216" t="s">
        <v>454</v>
      </c>
      <c r="AC57" s="94"/>
      <c r="AD57" s="233">
        <f t="shared" si="8"/>
        <v>5</v>
      </c>
      <c r="AF57" s="94"/>
      <c r="AH57" s="94"/>
    </row>
    <row r="58" spans="1:34" s="86" customFormat="1" ht="310.5" customHeight="1" x14ac:dyDescent="0.35">
      <c r="A58" s="95" t="s">
        <v>327</v>
      </c>
      <c r="B58" s="90" t="s">
        <v>328</v>
      </c>
      <c r="C58" s="91" t="s">
        <v>334</v>
      </c>
      <c r="D58" s="69">
        <v>0</v>
      </c>
      <c r="E58" s="69">
        <v>118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118</v>
      </c>
      <c r="L58" s="69">
        <v>0</v>
      </c>
      <c r="M58" s="69">
        <v>0</v>
      </c>
      <c r="N58" s="69">
        <v>0</v>
      </c>
      <c r="O58" s="69">
        <v>0</v>
      </c>
      <c r="P58" s="69">
        <v>20</v>
      </c>
      <c r="Q58" s="69">
        <v>0</v>
      </c>
      <c r="R58" s="69">
        <v>0</v>
      </c>
      <c r="S58" s="69">
        <v>0</v>
      </c>
      <c r="T58" s="69">
        <v>20</v>
      </c>
      <c r="U58" s="260" t="s">
        <v>518</v>
      </c>
      <c r="V58" s="251" t="s">
        <v>276</v>
      </c>
      <c r="W58" s="190" t="s">
        <v>277</v>
      </c>
      <c r="X58" s="255">
        <v>118</v>
      </c>
      <c r="Y58" s="256">
        <v>18</v>
      </c>
      <c r="Z58" s="191" t="s">
        <v>213</v>
      </c>
      <c r="AA58" s="191" t="s">
        <v>513</v>
      </c>
      <c r="AC58" s="94"/>
      <c r="AD58" s="233">
        <f t="shared" si="8"/>
        <v>98</v>
      </c>
      <c r="AF58" s="94"/>
      <c r="AH58" s="94"/>
    </row>
    <row r="59" spans="1:34" s="86" customFormat="1" ht="104.25" x14ac:dyDescent="0.35">
      <c r="A59" s="95" t="s">
        <v>50</v>
      </c>
      <c r="B59" s="90" t="s">
        <v>73</v>
      </c>
      <c r="C59" s="91" t="s">
        <v>148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167">
        <v>0</v>
      </c>
      <c r="U59" s="65" t="s">
        <v>11</v>
      </c>
      <c r="V59" s="98" t="s">
        <v>173</v>
      </c>
      <c r="W59" s="92" t="s">
        <v>146</v>
      </c>
      <c r="X59" s="92" t="s">
        <v>146</v>
      </c>
      <c r="Y59" s="213" t="s">
        <v>455</v>
      </c>
      <c r="Z59" s="93" t="s">
        <v>302</v>
      </c>
      <c r="AA59" s="93"/>
      <c r="AC59" s="94"/>
      <c r="AD59" s="233">
        <f t="shared" si="8"/>
        <v>0</v>
      </c>
      <c r="AF59" s="94"/>
      <c r="AH59" s="94"/>
    </row>
    <row r="60" spans="1:34" s="86" customFormat="1" ht="208.5" customHeight="1" x14ac:dyDescent="0.35">
      <c r="A60" s="95" t="s">
        <v>52</v>
      </c>
      <c r="B60" s="90" t="s">
        <v>74</v>
      </c>
      <c r="C60" s="91" t="s">
        <v>148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167">
        <v>0</v>
      </c>
      <c r="U60" s="65" t="s">
        <v>11</v>
      </c>
      <c r="V60" s="14" t="s">
        <v>218</v>
      </c>
      <c r="W60" s="122" t="s">
        <v>174</v>
      </c>
      <c r="X60" s="122">
        <v>287182.8</v>
      </c>
      <c r="Y60" s="170">
        <v>300641.90000000002</v>
      </c>
      <c r="Z60" s="93" t="s">
        <v>303</v>
      </c>
      <c r="AA60" s="191"/>
      <c r="AC60" s="94"/>
      <c r="AD60" s="233">
        <f t="shared" si="8"/>
        <v>0</v>
      </c>
      <c r="AF60" s="94"/>
      <c r="AH60" s="94"/>
    </row>
    <row r="61" spans="1:34" s="86" customFormat="1" ht="292.5" customHeight="1" x14ac:dyDescent="0.35">
      <c r="A61" s="95" t="s">
        <v>54</v>
      </c>
      <c r="B61" s="90" t="s">
        <v>75</v>
      </c>
      <c r="C61" s="217" t="s">
        <v>148</v>
      </c>
      <c r="D61" s="69">
        <v>0</v>
      </c>
      <c r="E61" s="69">
        <v>0</v>
      </c>
      <c r="F61" s="69">
        <v>0</v>
      </c>
      <c r="G61" s="69">
        <v>0</v>
      </c>
      <c r="H61" s="69">
        <v>287182.8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300641.90000000002</v>
      </c>
      <c r="T61" s="69">
        <v>0</v>
      </c>
      <c r="U61" s="240"/>
      <c r="V61" s="235" t="s">
        <v>175</v>
      </c>
      <c r="W61" s="215" t="s">
        <v>103</v>
      </c>
      <c r="X61" s="215" t="s">
        <v>299</v>
      </c>
      <c r="Y61" s="218">
        <v>7.8E-2</v>
      </c>
      <c r="Z61" s="216" t="s">
        <v>303</v>
      </c>
      <c r="AA61" s="194"/>
      <c r="AC61" s="94"/>
      <c r="AD61" s="233">
        <f t="shared" si="8"/>
        <v>0</v>
      </c>
      <c r="AF61" s="94"/>
      <c r="AH61" s="94"/>
    </row>
    <row r="62" spans="1:34" s="86" customFormat="1" ht="76.5" x14ac:dyDescent="0.35">
      <c r="A62" s="95" t="s">
        <v>56</v>
      </c>
      <c r="B62" s="90" t="s">
        <v>76</v>
      </c>
      <c r="C62" s="91" t="s">
        <v>148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167">
        <v>0</v>
      </c>
      <c r="U62" s="65" t="s">
        <v>11</v>
      </c>
      <c r="V62" s="14" t="s">
        <v>176</v>
      </c>
      <c r="W62" s="92" t="s">
        <v>172</v>
      </c>
      <c r="X62" s="96">
        <v>4</v>
      </c>
      <c r="Y62" s="122">
        <v>4</v>
      </c>
      <c r="Z62" s="216" t="s">
        <v>303</v>
      </c>
      <c r="AA62" s="93"/>
      <c r="AC62" s="94"/>
      <c r="AD62" s="233">
        <f t="shared" si="8"/>
        <v>0</v>
      </c>
      <c r="AF62" s="94"/>
      <c r="AH62" s="94"/>
    </row>
    <row r="63" spans="1:34" s="86" customFormat="1" ht="134.25" customHeight="1" x14ac:dyDescent="0.35">
      <c r="A63" s="95" t="s">
        <v>58</v>
      </c>
      <c r="B63" s="90" t="s">
        <v>77</v>
      </c>
      <c r="C63" s="91" t="s">
        <v>148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167">
        <v>0</v>
      </c>
      <c r="U63" s="65" t="s">
        <v>11</v>
      </c>
      <c r="V63" s="14" t="s">
        <v>177</v>
      </c>
      <c r="W63" s="92" t="s">
        <v>146</v>
      </c>
      <c r="X63" s="92" t="s">
        <v>146</v>
      </c>
      <c r="Y63" s="213" t="s">
        <v>337</v>
      </c>
      <c r="Z63" s="216" t="s">
        <v>303</v>
      </c>
      <c r="AA63" s="93"/>
      <c r="AC63" s="94"/>
      <c r="AD63" s="233">
        <f t="shared" si="8"/>
        <v>0</v>
      </c>
      <c r="AF63" s="94"/>
      <c r="AH63" s="94"/>
    </row>
    <row r="64" spans="1:34" s="86" customFormat="1" ht="90" customHeight="1" x14ac:dyDescent="0.35">
      <c r="A64" s="95" t="s">
        <v>60</v>
      </c>
      <c r="B64" s="90" t="s">
        <v>305</v>
      </c>
      <c r="C64" s="91"/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167">
        <v>0</v>
      </c>
      <c r="U64" s="65" t="s">
        <v>11</v>
      </c>
      <c r="V64" s="14" t="s">
        <v>429</v>
      </c>
      <c r="W64" s="92" t="s">
        <v>103</v>
      </c>
      <c r="X64" s="162" t="s">
        <v>428</v>
      </c>
      <c r="Y64" s="213" t="s">
        <v>456</v>
      </c>
      <c r="Z64" s="216" t="s">
        <v>303</v>
      </c>
      <c r="AA64" s="93"/>
      <c r="AC64" s="94"/>
      <c r="AD64" s="233">
        <f t="shared" si="8"/>
        <v>0</v>
      </c>
      <c r="AF64" s="94"/>
      <c r="AH64" s="94"/>
    </row>
    <row r="65" spans="1:34" s="86" customFormat="1" ht="278.25" customHeight="1" x14ac:dyDescent="0.35">
      <c r="A65" s="95" t="s">
        <v>78</v>
      </c>
      <c r="B65" s="90" t="s">
        <v>79</v>
      </c>
      <c r="C65" s="91" t="s">
        <v>148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167">
        <v>0</v>
      </c>
      <c r="U65" s="65" t="s">
        <v>11</v>
      </c>
      <c r="V65" s="14" t="s">
        <v>178</v>
      </c>
      <c r="W65" s="92" t="s">
        <v>179</v>
      </c>
      <c r="X65" s="92">
        <v>44000</v>
      </c>
      <c r="Y65" s="171">
        <v>44253</v>
      </c>
      <c r="Z65" s="216" t="s">
        <v>303</v>
      </c>
      <c r="AA65" s="122"/>
      <c r="AC65" s="94"/>
      <c r="AD65" s="233">
        <f t="shared" si="8"/>
        <v>0</v>
      </c>
      <c r="AF65" s="94"/>
      <c r="AH65" s="94"/>
    </row>
    <row r="66" spans="1:34" s="86" customFormat="1" ht="282.75" customHeight="1" x14ac:dyDescent="0.35">
      <c r="A66" s="95" t="s">
        <v>80</v>
      </c>
      <c r="B66" s="90" t="s">
        <v>81</v>
      </c>
      <c r="C66" s="91" t="s">
        <v>148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167">
        <v>0</v>
      </c>
      <c r="U66" s="65" t="s">
        <v>11</v>
      </c>
      <c r="V66" s="214" t="s">
        <v>479</v>
      </c>
      <c r="W66" s="190" t="s">
        <v>487</v>
      </c>
      <c r="X66" s="92">
        <v>1</v>
      </c>
      <c r="Y66" s="91">
        <v>0</v>
      </c>
      <c r="Z66" s="93" t="s">
        <v>304</v>
      </c>
      <c r="AA66" s="191" t="s">
        <v>488</v>
      </c>
      <c r="AC66" s="94"/>
      <c r="AD66" s="233">
        <f t="shared" si="8"/>
        <v>0</v>
      </c>
      <c r="AF66" s="94"/>
      <c r="AH66" s="94"/>
    </row>
    <row r="67" spans="1:34" s="86" customFormat="1" ht="126" customHeight="1" x14ac:dyDescent="0.35">
      <c r="A67" s="95" t="s">
        <v>284</v>
      </c>
      <c r="B67" s="90" t="s">
        <v>306</v>
      </c>
      <c r="C67" s="91" t="s">
        <v>148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167">
        <v>0</v>
      </c>
      <c r="U67" s="65" t="s">
        <v>11</v>
      </c>
      <c r="V67" s="14" t="s">
        <v>300</v>
      </c>
      <c r="W67" s="92" t="s">
        <v>172</v>
      </c>
      <c r="X67" s="92">
        <v>5</v>
      </c>
      <c r="Y67" s="91">
        <v>24</v>
      </c>
      <c r="Z67" s="216" t="s">
        <v>303</v>
      </c>
      <c r="AA67" s="93"/>
      <c r="AC67" s="94"/>
      <c r="AD67" s="233">
        <f t="shared" si="8"/>
        <v>0</v>
      </c>
      <c r="AF67" s="94"/>
      <c r="AH67" s="94"/>
    </row>
    <row r="68" spans="1:34" s="86" customFormat="1" ht="369.75" x14ac:dyDescent="0.35">
      <c r="A68" s="95" t="s">
        <v>82</v>
      </c>
      <c r="B68" s="90" t="s">
        <v>83</v>
      </c>
      <c r="C68" s="91" t="s">
        <v>148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167">
        <v>0</v>
      </c>
      <c r="U68" s="65" t="s">
        <v>11</v>
      </c>
      <c r="V68" s="214" t="s">
        <v>180</v>
      </c>
      <c r="W68" s="92" t="s">
        <v>146</v>
      </c>
      <c r="X68" s="92" t="s">
        <v>146</v>
      </c>
      <c r="Y68" s="253" t="s">
        <v>516</v>
      </c>
      <c r="Z68" s="216" t="s">
        <v>303</v>
      </c>
      <c r="AA68" s="122"/>
      <c r="AC68" s="94"/>
      <c r="AD68" s="233">
        <f t="shared" si="8"/>
        <v>0</v>
      </c>
      <c r="AF68" s="94"/>
      <c r="AH68" s="94"/>
    </row>
    <row r="69" spans="1:34" s="86" customFormat="1" ht="72" customHeight="1" x14ac:dyDescent="0.35">
      <c r="A69" s="95" t="s">
        <v>84</v>
      </c>
      <c r="B69" s="90" t="s">
        <v>85</v>
      </c>
      <c r="C69" s="91" t="s">
        <v>148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167">
        <v>0</v>
      </c>
      <c r="U69" s="65" t="s">
        <v>11</v>
      </c>
      <c r="V69" s="98" t="s">
        <v>181</v>
      </c>
      <c r="W69" s="92" t="s">
        <v>172</v>
      </c>
      <c r="X69" s="96">
        <v>4</v>
      </c>
      <c r="Y69" s="122">
        <v>4</v>
      </c>
      <c r="Z69" s="216" t="s">
        <v>303</v>
      </c>
      <c r="AA69" s="93"/>
      <c r="AC69" s="94"/>
      <c r="AD69" s="233">
        <f t="shared" si="8"/>
        <v>0</v>
      </c>
      <c r="AF69" s="94"/>
      <c r="AH69" s="94"/>
    </row>
    <row r="70" spans="1:34" s="86" customFormat="1" ht="272.25" customHeight="1" x14ac:dyDescent="0.35">
      <c r="A70" s="95" t="s">
        <v>86</v>
      </c>
      <c r="B70" s="90" t="s">
        <v>87</v>
      </c>
      <c r="C70" s="91" t="s">
        <v>148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167">
        <v>0</v>
      </c>
      <c r="U70" s="65" t="s">
        <v>11</v>
      </c>
      <c r="V70" s="92" t="s">
        <v>182</v>
      </c>
      <c r="W70" s="92" t="s">
        <v>172</v>
      </c>
      <c r="X70" s="96">
        <v>1000</v>
      </c>
      <c r="Y70" s="122">
        <v>1365</v>
      </c>
      <c r="Z70" s="93" t="s">
        <v>303</v>
      </c>
      <c r="AA70" s="93"/>
      <c r="AC70" s="94"/>
      <c r="AD70" s="233">
        <f t="shared" si="8"/>
        <v>0</v>
      </c>
      <c r="AF70" s="94"/>
      <c r="AH70" s="94"/>
    </row>
    <row r="71" spans="1:34" s="86" customFormat="1" ht="261" customHeight="1" x14ac:dyDescent="0.35">
      <c r="A71" s="95" t="s">
        <v>307</v>
      </c>
      <c r="B71" s="90" t="s">
        <v>308</v>
      </c>
      <c r="C71" s="91" t="s">
        <v>148</v>
      </c>
      <c r="D71" s="69">
        <v>0</v>
      </c>
      <c r="E71" s="69">
        <v>590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590</v>
      </c>
      <c r="L71" s="69">
        <v>0</v>
      </c>
      <c r="M71" s="69">
        <v>0</v>
      </c>
      <c r="N71" s="69">
        <v>0</v>
      </c>
      <c r="O71" s="69">
        <v>0</v>
      </c>
      <c r="P71" s="69">
        <v>590</v>
      </c>
      <c r="Q71" s="69">
        <v>0</v>
      </c>
      <c r="R71" s="69">
        <v>0</v>
      </c>
      <c r="S71" s="69">
        <v>0</v>
      </c>
      <c r="T71" s="167">
        <v>590</v>
      </c>
      <c r="U71" s="65" t="s">
        <v>11</v>
      </c>
      <c r="V71" s="92" t="s">
        <v>301</v>
      </c>
      <c r="W71" s="92" t="s">
        <v>487</v>
      </c>
      <c r="X71" s="92">
        <v>2</v>
      </c>
      <c r="Y71" s="213" t="s">
        <v>338</v>
      </c>
      <c r="Z71" s="93" t="s">
        <v>303</v>
      </c>
      <c r="AA71" s="65"/>
      <c r="AD71" s="233">
        <f t="shared" si="8"/>
        <v>0</v>
      </c>
    </row>
    <row r="72" spans="1:34" s="86" customFormat="1" ht="141.75" customHeight="1" x14ac:dyDescent="0.35">
      <c r="A72" s="87"/>
      <c r="B72" s="85" t="s">
        <v>31</v>
      </c>
      <c r="C72" s="237">
        <v>0</v>
      </c>
      <c r="D72" s="67">
        <f>SUM(D73+D74+D76+D75)</f>
        <v>307.8</v>
      </c>
      <c r="E72" s="67">
        <f t="shared" ref="E72:T72" si="9">SUM(E73+E74+E76+E75)</f>
        <v>97.2</v>
      </c>
      <c r="F72" s="67">
        <f t="shared" si="9"/>
        <v>0</v>
      </c>
      <c r="G72" s="67">
        <f t="shared" si="9"/>
        <v>0</v>
      </c>
      <c r="H72" s="67">
        <f t="shared" si="9"/>
        <v>0</v>
      </c>
      <c r="I72" s="67">
        <f t="shared" si="9"/>
        <v>307.8</v>
      </c>
      <c r="J72" s="67">
        <f t="shared" si="9"/>
        <v>0</v>
      </c>
      <c r="K72" s="67">
        <f t="shared" si="9"/>
        <v>97.2</v>
      </c>
      <c r="L72" s="67">
        <f t="shared" si="9"/>
        <v>0</v>
      </c>
      <c r="M72" s="67">
        <f t="shared" si="9"/>
        <v>0</v>
      </c>
      <c r="N72" s="67">
        <f t="shared" si="9"/>
        <v>290.70000000000005</v>
      </c>
      <c r="O72" s="67">
        <f t="shared" si="9"/>
        <v>0</v>
      </c>
      <c r="P72" s="67">
        <f t="shared" si="9"/>
        <v>91.9</v>
      </c>
      <c r="Q72" s="67">
        <f t="shared" si="9"/>
        <v>0</v>
      </c>
      <c r="R72" s="67">
        <f t="shared" si="9"/>
        <v>0</v>
      </c>
      <c r="S72" s="67">
        <f t="shared" si="9"/>
        <v>0</v>
      </c>
      <c r="T72" s="67">
        <f t="shared" si="9"/>
        <v>146.4</v>
      </c>
      <c r="U72" s="69"/>
      <c r="V72" s="93"/>
      <c r="W72" s="65"/>
      <c r="X72" s="65"/>
      <c r="Y72" s="65"/>
      <c r="Z72" s="93"/>
      <c r="AA72" s="93"/>
      <c r="AB72" s="86">
        <v>382.6</v>
      </c>
      <c r="AC72" s="94">
        <f>AB72-N72-P72</f>
        <v>0</v>
      </c>
      <c r="AD72" s="233">
        <f t="shared" si="8"/>
        <v>22.399999999999949</v>
      </c>
    </row>
    <row r="73" spans="1:34" s="86" customFormat="1" ht="183" customHeight="1" x14ac:dyDescent="0.35">
      <c r="A73" s="241" t="s">
        <v>33</v>
      </c>
      <c r="B73" s="99" t="s">
        <v>190</v>
      </c>
      <c r="C73" s="91" t="s">
        <v>148</v>
      </c>
      <c r="D73" s="70">
        <v>33.4</v>
      </c>
      <c r="E73" s="70">
        <v>10.6</v>
      </c>
      <c r="F73" s="70">
        <v>0</v>
      </c>
      <c r="G73" s="70">
        <v>0</v>
      </c>
      <c r="H73" s="70">
        <v>0</v>
      </c>
      <c r="I73" s="70">
        <v>33.4</v>
      </c>
      <c r="J73" s="70">
        <v>0</v>
      </c>
      <c r="K73" s="70">
        <v>10.6</v>
      </c>
      <c r="L73" s="70">
        <v>0</v>
      </c>
      <c r="M73" s="70">
        <v>0</v>
      </c>
      <c r="N73" s="70">
        <v>33.4</v>
      </c>
      <c r="O73" s="70"/>
      <c r="P73" s="70">
        <v>10.6</v>
      </c>
      <c r="Q73" s="70">
        <v>0</v>
      </c>
      <c r="R73" s="70">
        <v>0</v>
      </c>
      <c r="S73" s="69">
        <v>0</v>
      </c>
      <c r="T73" s="70">
        <v>44</v>
      </c>
      <c r="U73" s="65" t="s">
        <v>11</v>
      </c>
      <c r="V73" s="213" t="s">
        <v>460</v>
      </c>
      <c r="W73" s="122" t="s">
        <v>146</v>
      </c>
      <c r="X73" s="213" t="s">
        <v>460</v>
      </c>
      <c r="Y73" s="213" t="s">
        <v>460</v>
      </c>
      <c r="Z73" s="93" t="s">
        <v>303</v>
      </c>
      <c r="AA73" s="93"/>
      <c r="AD73" s="233">
        <f t="shared" si="8"/>
        <v>0</v>
      </c>
    </row>
    <row r="74" spans="1:34" s="86" customFormat="1" ht="217.5" customHeight="1" x14ac:dyDescent="0.35">
      <c r="A74" s="241" t="s">
        <v>191</v>
      </c>
      <c r="B74" s="99" t="s">
        <v>192</v>
      </c>
      <c r="C74" s="91" t="s">
        <v>149</v>
      </c>
      <c r="D74" s="70">
        <v>190</v>
      </c>
      <c r="E74" s="70">
        <v>60</v>
      </c>
      <c r="F74" s="70">
        <v>0</v>
      </c>
      <c r="G74" s="70">
        <v>0</v>
      </c>
      <c r="H74" s="70">
        <v>0</v>
      </c>
      <c r="I74" s="70">
        <v>190</v>
      </c>
      <c r="J74" s="70">
        <v>0</v>
      </c>
      <c r="K74" s="70">
        <v>60</v>
      </c>
      <c r="L74" s="70">
        <v>0</v>
      </c>
      <c r="M74" s="70">
        <v>0</v>
      </c>
      <c r="N74" s="70">
        <v>173.4</v>
      </c>
      <c r="O74" s="70">
        <v>0</v>
      </c>
      <c r="P74" s="167">
        <v>54.8</v>
      </c>
      <c r="Q74" s="70">
        <v>0</v>
      </c>
      <c r="R74" s="70">
        <v>0</v>
      </c>
      <c r="S74" s="69">
        <v>0</v>
      </c>
      <c r="T74" s="70">
        <v>0</v>
      </c>
      <c r="U74" s="190" t="s">
        <v>486</v>
      </c>
      <c r="V74" s="123" t="s">
        <v>309</v>
      </c>
      <c r="W74" s="122" t="s">
        <v>113</v>
      </c>
      <c r="X74" s="124">
        <v>50</v>
      </c>
      <c r="Y74" s="124">
        <v>53</v>
      </c>
      <c r="Z74" s="93" t="s">
        <v>303</v>
      </c>
      <c r="AA74" s="216" t="s">
        <v>11</v>
      </c>
      <c r="AD74" s="233">
        <f t="shared" si="8"/>
        <v>21.799999999999997</v>
      </c>
    </row>
    <row r="75" spans="1:34" s="86" customFormat="1" ht="227.25" customHeight="1" x14ac:dyDescent="0.35">
      <c r="A75" s="241" t="s">
        <v>194</v>
      </c>
      <c r="B75" s="99" t="s">
        <v>193</v>
      </c>
      <c r="C75" s="91" t="s">
        <v>148</v>
      </c>
      <c r="D75" s="70">
        <v>6.1</v>
      </c>
      <c r="E75" s="70">
        <v>1.9</v>
      </c>
      <c r="F75" s="70">
        <v>0</v>
      </c>
      <c r="G75" s="70">
        <v>0</v>
      </c>
      <c r="H75" s="70">
        <v>0</v>
      </c>
      <c r="I75" s="70">
        <v>6.1</v>
      </c>
      <c r="J75" s="70">
        <v>0</v>
      </c>
      <c r="K75" s="70">
        <v>1.9</v>
      </c>
      <c r="L75" s="70">
        <v>0</v>
      </c>
      <c r="M75" s="70">
        <v>0</v>
      </c>
      <c r="N75" s="70">
        <v>6.1</v>
      </c>
      <c r="O75" s="70"/>
      <c r="P75" s="168">
        <v>1.9</v>
      </c>
      <c r="Q75" s="70">
        <v>0</v>
      </c>
      <c r="R75" s="70">
        <v>0</v>
      </c>
      <c r="S75" s="69">
        <v>0</v>
      </c>
      <c r="T75" s="168">
        <v>0</v>
      </c>
      <c r="U75" s="65" t="s">
        <v>11</v>
      </c>
      <c r="V75" s="122" t="s">
        <v>183</v>
      </c>
      <c r="W75" s="122" t="s">
        <v>113</v>
      </c>
      <c r="X75" s="124">
        <v>2</v>
      </c>
      <c r="Y75" s="124">
        <v>2</v>
      </c>
      <c r="Z75" s="93" t="s">
        <v>303</v>
      </c>
      <c r="AA75" s="93"/>
      <c r="AD75" s="233">
        <f t="shared" si="8"/>
        <v>0</v>
      </c>
    </row>
    <row r="76" spans="1:34" s="53" customFormat="1" ht="176.25" customHeight="1" x14ac:dyDescent="0.35">
      <c r="A76" s="241" t="s">
        <v>196</v>
      </c>
      <c r="B76" s="99" t="s">
        <v>195</v>
      </c>
      <c r="C76" s="91" t="s">
        <v>148</v>
      </c>
      <c r="D76" s="70">
        <v>78.3</v>
      </c>
      <c r="E76" s="70">
        <v>24.7</v>
      </c>
      <c r="F76" s="70">
        <v>0</v>
      </c>
      <c r="G76" s="70">
        <v>0</v>
      </c>
      <c r="H76" s="70">
        <v>0</v>
      </c>
      <c r="I76" s="70">
        <v>78.3</v>
      </c>
      <c r="J76" s="70">
        <v>0</v>
      </c>
      <c r="K76" s="70">
        <v>24.7</v>
      </c>
      <c r="L76" s="70">
        <v>0</v>
      </c>
      <c r="M76" s="70">
        <v>0</v>
      </c>
      <c r="N76" s="70">
        <v>77.8</v>
      </c>
      <c r="O76" s="168">
        <v>0</v>
      </c>
      <c r="P76" s="70">
        <v>24.6</v>
      </c>
      <c r="Q76" s="70">
        <v>0</v>
      </c>
      <c r="R76" s="70">
        <v>0</v>
      </c>
      <c r="S76" s="69">
        <v>0</v>
      </c>
      <c r="T76" s="70">
        <v>102.4</v>
      </c>
      <c r="U76" s="190" t="s">
        <v>480</v>
      </c>
      <c r="V76" s="122" t="s">
        <v>490</v>
      </c>
      <c r="W76" s="122" t="s">
        <v>113</v>
      </c>
      <c r="X76" s="124">
        <v>3</v>
      </c>
      <c r="Y76" s="124">
        <v>3</v>
      </c>
      <c r="Z76" s="93" t="s">
        <v>303</v>
      </c>
      <c r="AA76" s="216" t="s">
        <v>11</v>
      </c>
      <c r="AD76" s="233">
        <f t="shared" si="8"/>
        <v>0.60000000000000142</v>
      </c>
    </row>
    <row r="77" spans="1:34" ht="96" customHeight="1" x14ac:dyDescent="0.35">
      <c r="A77" s="242" t="s">
        <v>212</v>
      </c>
      <c r="B77" s="100" t="s">
        <v>99</v>
      </c>
      <c r="C77" s="91" t="s">
        <v>148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236">
        <v>0</v>
      </c>
      <c r="Q77" s="130">
        <v>0</v>
      </c>
      <c r="R77" s="130">
        <v>0</v>
      </c>
      <c r="S77" s="69">
        <v>0</v>
      </c>
      <c r="T77" s="236">
        <v>0</v>
      </c>
      <c r="U77" s="65" t="s">
        <v>11</v>
      </c>
      <c r="V77" s="122" t="s">
        <v>215</v>
      </c>
      <c r="W77" s="122" t="s">
        <v>113</v>
      </c>
      <c r="X77" s="124">
        <v>350</v>
      </c>
      <c r="Y77" s="124">
        <v>38</v>
      </c>
      <c r="Z77" s="216" t="s">
        <v>213</v>
      </c>
      <c r="AA77" s="216" t="s">
        <v>467</v>
      </c>
      <c r="AD77" s="233">
        <f t="shared" si="8"/>
        <v>0</v>
      </c>
    </row>
    <row r="78" spans="1:34" ht="25.5" customHeight="1" x14ac:dyDescent="0.35">
      <c r="A78" s="101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71"/>
      <c r="S78" s="71"/>
      <c r="T78" s="179"/>
      <c r="U78" s="71"/>
      <c r="V78" s="71"/>
      <c r="W78" s="71"/>
      <c r="X78" s="71"/>
      <c r="Y78" s="71"/>
      <c r="Z78" s="71"/>
      <c r="AA78" s="71"/>
    </row>
    <row r="79" spans="1:34" ht="21" customHeight="1" x14ac:dyDescent="0.35">
      <c r="A79" s="299" t="s">
        <v>219</v>
      </c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A79" s="299"/>
    </row>
    <row r="80" spans="1:34" ht="29.25" customHeight="1" x14ac:dyDescent="0.35">
      <c r="A80" s="299" t="s">
        <v>226</v>
      </c>
      <c r="B80" s="299"/>
      <c r="C80" s="299"/>
      <c r="D80" s="299"/>
      <c r="E80" s="299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A80" s="299"/>
    </row>
    <row r="81" spans="1:30" s="103" customFormat="1" ht="16.149999999999999" customHeight="1" x14ac:dyDescent="0.35">
      <c r="A81" s="299" t="s">
        <v>227</v>
      </c>
      <c r="B81" s="299"/>
      <c r="C81" s="299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  <c r="AA81" s="299"/>
      <c r="AD81" s="234"/>
    </row>
    <row r="82" spans="1:30" s="103" customFormat="1" ht="16.149999999999999" customHeight="1" x14ac:dyDescent="0.35">
      <c r="A82" s="299" t="s">
        <v>228</v>
      </c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D82" s="234"/>
    </row>
    <row r="83" spans="1:30" s="103" customFormat="1" ht="16.149999999999999" customHeight="1" x14ac:dyDescent="0.35">
      <c r="A83" s="299" t="s">
        <v>229</v>
      </c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A83" s="299"/>
      <c r="AD83" s="234"/>
    </row>
    <row r="84" spans="1:30" s="103" customFormat="1" ht="16.149999999999999" customHeight="1" x14ac:dyDescent="0.35">
      <c r="A84" s="299" t="s">
        <v>230</v>
      </c>
      <c r="B84" s="299"/>
      <c r="C84" s="299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D84" s="234"/>
    </row>
    <row r="85" spans="1:30" s="103" customFormat="1" ht="30.75" customHeight="1" x14ac:dyDescent="0.35">
      <c r="A85" s="299" t="s">
        <v>231</v>
      </c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D85" s="234"/>
    </row>
    <row r="86" spans="1:30" ht="54.75" customHeight="1" x14ac:dyDescent="0.35">
      <c r="A86" s="299"/>
      <c r="B86" s="299"/>
      <c r="C86" s="299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  <c r="AA86" s="299"/>
    </row>
    <row r="87" spans="1:30" ht="45.75" customHeight="1" x14ac:dyDescent="0.35">
      <c r="A87" s="298" t="s">
        <v>520</v>
      </c>
      <c r="B87" s="298"/>
      <c r="C87" s="298"/>
      <c r="D87" s="298"/>
      <c r="E87" s="298"/>
      <c r="F87" s="298"/>
      <c r="G87" s="261"/>
      <c r="H87" s="51"/>
      <c r="I87" s="51"/>
      <c r="J87" s="262"/>
      <c r="K87" s="262"/>
      <c r="L87" s="262"/>
      <c r="M87" s="261"/>
      <c r="N87" s="261"/>
      <c r="O87" s="261"/>
      <c r="P87" s="261"/>
      <c r="Q87" s="261"/>
      <c r="R87" s="261"/>
      <c r="S87" s="263"/>
      <c r="T87" s="264"/>
      <c r="U87" s="263"/>
      <c r="V87" s="263"/>
      <c r="W87" s="263"/>
      <c r="X87" s="263"/>
      <c r="Y87" s="265"/>
      <c r="Z87" s="265"/>
      <c r="AA87" s="259"/>
    </row>
    <row r="88" spans="1:30" ht="21.75" customHeight="1" x14ac:dyDescent="0.35">
      <c r="A88" s="261" t="s">
        <v>519</v>
      </c>
      <c r="B88" s="51"/>
      <c r="C88" s="51"/>
      <c r="D88" s="51"/>
      <c r="E88" s="261"/>
      <c r="F88" s="261"/>
      <c r="G88" s="261"/>
      <c r="H88" s="262"/>
      <c r="I88" s="262"/>
      <c r="J88" s="261"/>
      <c r="K88" s="261"/>
      <c r="L88" s="261"/>
      <c r="M88" s="261"/>
      <c r="N88" s="261"/>
      <c r="O88" s="261"/>
      <c r="P88" s="261"/>
      <c r="Q88" s="261"/>
      <c r="R88" s="261"/>
      <c r="S88" s="263"/>
      <c r="T88" s="266"/>
      <c r="U88" s="263"/>
      <c r="V88" s="263"/>
      <c r="W88" s="263"/>
      <c r="X88" s="263"/>
      <c r="Y88" s="300" t="s">
        <v>492</v>
      </c>
      <c r="Z88" s="300"/>
      <c r="AA88" s="300"/>
    </row>
    <row r="89" spans="1:30" ht="53.25" customHeight="1" x14ac:dyDescent="0.35">
      <c r="A89" s="152" t="s">
        <v>493</v>
      </c>
      <c r="B89" s="49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Y89" s="64"/>
    </row>
    <row r="90" spans="1:30" ht="16.149999999999999" customHeight="1" x14ac:dyDescent="0.35">
      <c r="A90" s="258" t="s">
        <v>494</v>
      </c>
      <c r="B90" s="49"/>
      <c r="P90" s="64"/>
      <c r="Y90" s="64"/>
    </row>
    <row r="91" spans="1:30" ht="16.149999999999999" customHeight="1" x14ac:dyDescent="0.35">
      <c r="A91" s="53"/>
      <c r="P91" s="62"/>
      <c r="Y91" s="62"/>
    </row>
    <row r="92" spans="1:30" x14ac:dyDescent="0.35">
      <c r="A92" s="163"/>
      <c r="P92" s="62"/>
      <c r="Y92" s="62"/>
    </row>
    <row r="93" spans="1:30" x14ac:dyDescent="0.35">
      <c r="P93" s="62"/>
      <c r="Y93" s="62"/>
    </row>
    <row r="94" spans="1:30" x14ac:dyDescent="0.35">
      <c r="P94" s="62"/>
      <c r="Y94" s="62"/>
    </row>
  </sheetData>
  <autoFilter ref="A11:AH76"/>
  <mergeCells count="28">
    <mergeCell ref="A79:AA79"/>
    <mergeCell ref="A80:AA80"/>
    <mergeCell ref="A81:AA81"/>
    <mergeCell ref="A82:AA82"/>
    <mergeCell ref="A83:AA83"/>
    <mergeCell ref="A87:F87"/>
    <mergeCell ref="A84:AA84"/>
    <mergeCell ref="A85:AA85"/>
    <mergeCell ref="A86:AA86"/>
    <mergeCell ref="Y88:AA88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9"/>
  <sheetViews>
    <sheetView tabSelected="1" view="pageBreakPreview" topLeftCell="A8" zoomScale="90" zoomScaleSheetLayoutView="90" workbookViewId="0">
      <selection activeCell="G14" sqref="G14"/>
    </sheetView>
  </sheetViews>
  <sheetFormatPr defaultRowHeight="15.75" x14ac:dyDescent="0.25"/>
  <cols>
    <col min="1" max="1" width="10" style="1" customWidth="1"/>
    <col min="2" max="2" width="69.5703125" style="1" customWidth="1"/>
    <col min="3" max="3" width="10" style="1" customWidth="1"/>
    <col min="4" max="4" width="14.7109375" style="1" customWidth="1"/>
    <col min="5" max="5" width="10" style="1" customWidth="1"/>
    <col min="6" max="6" width="9.85546875" style="164" customWidth="1"/>
    <col min="7" max="7" width="23" style="155" customWidth="1"/>
    <col min="8" max="16384" width="9.140625" style="1"/>
  </cols>
  <sheetData>
    <row r="1" spans="1:22" ht="17.25" customHeight="1" x14ac:dyDescent="0.25">
      <c r="A1" s="309" t="s">
        <v>7</v>
      </c>
      <c r="B1" s="309"/>
      <c r="C1" s="309"/>
      <c r="D1" s="309"/>
      <c r="E1" s="309"/>
      <c r="F1" s="309"/>
      <c r="G1" s="309"/>
      <c r="K1" s="309"/>
      <c r="L1" s="309"/>
      <c r="M1" s="309"/>
      <c r="N1" s="309"/>
      <c r="O1" s="309"/>
    </row>
    <row r="2" spans="1:22" x14ac:dyDescent="0.25">
      <c r="A2" s="309" t="s">
        <v>9</v>
      </c>
      <c r="B2" s="309"/>
      <c r="C2" s="309"/>
      <c r="D2" s="309"/>
      <c r="E2" s="309"/>
      <c r="F2" s="309"/>
      <c r="G2" s="309"/>
      <c r="K2" s="309"/>
      <c r="L2" s="309"/>
      <c r="M2" s="309"/>
      <c r="N2" s="309"/>
      <c r="O2" s="309"/>
    </row>
    <row r="3" spans="1:22" x14ac:dyDescent="0.25">
      <c r="A3" s="309" t="s">
        <v>145</v>
      </c>
      <c r="B3" s="309"/>
      <c r="C3" s="309"/>
      <c r="D3" s="309"/>
      <c r="E3" s="309"/>
      <c r="F3" s="309"/>
      <c r="G3" s="309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10" t="s">
        <v>4</v>
      </c>
      <c r="B4" s="310"/>
      <c r="C4" s="310"/>
      <c r="D4" s="310"/>
      <c r="E4" s="310"/>
      <c r="F4" s="310"/>
      <c r="G4" s="310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311" t="s">
        <v>430</v>
      </c>
      <c r="B5" s="311"/>
      <c r="C5" s="311"/>
      <c r="D5" s="311"/>
      <c r="E5" s="311"/>
      <c r="F5" s="311"/>
      <c r="G5" s="311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73"/>
      <c r="B6" s="273"/>
      <c r="C6" s="273"/>
      <c r="D6" s="273"/>
      <c r="E6" s="273"/>
      <c r="F6" s="273"/>
      <c r="G6" s="273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A7" s="152"/>
      <c r="B7" s="182"/>
      <c r="C7" s="152"/>
      <c r="D7" s="152"/>
      <c r="E7" s="152"/>
      <c r="F7" s="152"/>
      <c r="G7" s="53"/>
    </row>
    <row r="8" spans="1:22" ht="18.75" customHeight="1" x14ac:dyDescent="0.25">
      <c r="A8" s="282" t="s">
        <v>232</v>
      </c>
      <c r="B8" s="313" t="s">
        <v>10</v>
      </c>
      <c r="C8" s="313" t="s">
        <v>6</v>
      </c>
      <c r="D8" s="314" t="s">
        <v>27</v>
      </c>
      <c r="E8" s="315"/>
      <c r="F8" s="315"/>
      <c r="G8" s="313" t="s">
        <v>234</v>
      </c>
    </row>
    <row r="9" spans="1:22" ht="51" x14ac:dyDescent="0.25">
      <c r="A9" s="282"/>
      <c r="B9" s="313"/>
      <c r="C9" s="313"/>
      <c r="D9" s="104" t="s">
        <v>24</v>
      </c>
      <c r="E9" s="301" t="s">
        <v>28</v>
      </c>
      <c r="F9" s="302"/>
      <c r="G9" s="313"/>
    </row>
    <row r="10" spans="1:22" x14ac:dyDescent="0.25">
      <c r="A10" s="282"/>
      <c r="B10" s="313"/>
      <c r="C10" s="313"/>
      <c r="D10" s="14" t="s">
        <v>14</v>
      </c>
      <c r="E10" s="14" t="s">
        <v>13</v>
      </c>
      <c r="F10" s="14" t="s">
        <v>233</v>
      </c>
      <c r="G10" s="313"/>
    </row>
    <row r="11" spans="1:22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214">
        <v>7</v>
      </c>
    </row>
    <row r="12" spans="1:22" ht="31.5" x14ac:dyDescent="0.25">
      <c r="A12" s="105"/>
      <c r="B12" s="106" t="s">
        <v>100</v>
      </c>
      <c r="C12" s="107"/>
      <c r="D12" s="14"/>
      <c r="E12" s="118"/>
      <c r="F12" s="14"/>
      <c r="G12" s="214"/>
    </row>
    <row r="13" spans="1:22" ht="31.5" x14ac:dyDescent="0.25">
      <c r="A13" s="108" t="s">
        <v>101</v>
      </c>
      <c r="B13" s="37" t="s">
        <v>102</v>
      </c>
      <c r="C13" s="16" t="s">
        <v>103</v>
      </c>
      <c r="D13" s="72" t="s">
        <v>446</v>
      </c>
      <c r="E13" s="72">
        <v>5.8</v>
      </c>
      <c r="F13" s="153" t="s">
        <v>445</v>
      </c>
      <c r="G13" s="214" t="s">
        <v>146</v>
      </c>
    </row>
    <row r="14" spans="1:22" ht="31.5" x14ac:dyDescent="0.25">
      <c r="A14" s="108" t="s">
        <v>104</v>
      </c>
      <c r="B14" s="37" t="s">
        <v>105</v>
      </c>
      <c r="C14" s="16" t="s">
        <v>103</v>
      </c>
      <c r="D14" s="72">
        <v>0.5</v>
      </c>
      <c r="E14" s="72">
        <v>0.7</v>
      </c>
      <c r="F14" s="158">
        <v>0.6</v>
      </c>
      <c r="G14" s="214" t="s">
        <v>146</v>
      </c>
    </row>
    <row r="15" spans="1:22" ht="31.5" x14ac:dyDescent="0.25">
      <c r="A15" s="108" t="s">
        <v>106</v>
      </c>
      <c r="B15" s="37" t="s">
        <v>107</v>
      </c>
      <c r="C15" s="16" t="s">
        <v>108</v>
      </c>
      <c r="D15" s="72">
        <v>0.4</v>
      </c>
      <c r="E15" s="72">
        <v>0.5</v>
      </c>
      <c r="F15" s="158">
        <v>0.5</v>
      </c>
      <c r="G15" s="214" t="s">
        <v>146</v>
      </c>
    </row>
    <row r="16" spans="1:22" ht="47.25" x14ac:dyDescent="0.25">
      <c r="A16" s="108" t="s">
        <v>109</v>
      </c>
      <c r="B16" s="37" t="s">
        <v>110</v>
      </c>
      <c r="C16" s="16" t="s">
        <v>103</v>
      </c>
      <c r="D16" s="72">
        <v>73.099999999999994</v>
      </c>
      <c r="E16" s="77">
        <v>68</v>
      </c>
      <c r="F16" s="158">
        <v>71.900000000000006</v>
      </c>
      <c r="G16" s="214" t="s">
        <v>146</v>
      </c>
    </row>
    <row r="17" spans="1:7" s="164" customFormat="1" ht="31.5" x14ac:dyDescent="0.25">
      <c r="A17" s="108" t="s">
        <v>111</v>
      </c>
      <c r="B17" s="156" t="s">
        <v>112</v>
      </c>
      <c r="C17" s="16" t="s">
        <v>113</v>
      </c>
      <c r="D17" s="252">
        <v>45</v>
      </c>
      <c r="E17" s="158">
        <v>70</v>
      </c>
      <c r="F17" s="158">
        <v>42</v>
      </c>
      <c r="G17" s="214" t="s">
        <v>146</v>
      </c>
    </row>
    <row r="18" spans="1:7" s="164" customFormat="1" ht="41.25" customHeight="1" x14ac:dyDescent="0.25">
      <c r="A18" s="108" t="s">
        <v>114</v>
      </c>
      <c r="B18" s="156" t="s">
        <v>115</v>
      </c>
      <c r="C18" s="16" t="s">
        <v>103</v>
      </c>
      <c r="D18" s="158">
        <v>91.9</v>
      </c>
      <c r="E18" s="153">
        <v>92</v>
      </c>
      <c r="F18" s="158">
        <v>95.1</v>
      </c>
      <c r="G18" s="214" t="s">
        <v>146</v>
      </c>
    </row>
    <row r="19" spans="1:7" ht="31.5" x14ac:dyDescent="0.25">
      <c r="A19" s="109"/>
      <c r="B19" s="110" t="s">
        <v>36</v>
      </c>
      <c r="C19" s="107"/>
      <c r="D19" s="72"/>
      <c r="E19" s="119"/>
      <c r="F19" s="158"/>
      <c r="G19" s="214"/>
    </row>
    <row r="20" spans="1:7" ht="63" x14ac:dyDescent="0.25">
      <c r="A20" s="36" t="s">
        <v>116</v>
      </c>
      <c r="B20" s="37" t="s">
        <v>117</v>
      </c>
      <c r="C20" s="16" t="s">
        <v>103</v>
      </c>
      <c r="D20" s="72">
        <v>75.2</v>
      </c>
      <c r="E20" s="77">
        <v>60</v>
      </c>
      <c r="F20" s="153">
        <v>75.599999999999994</v>
      </c>
      <c r="G20" s="214" t="s">
        <v>146</v>
      </c>
    </row>
    <row r="21" spans="1:7" s="59" customFormat="1" ht="63" x14ac:dyDescent="0.25">
      <c r="A21" s="36" t="s">
        <v>366</v>
      </c>
      <c r="B21" s="37" t="s">
        <v>367</v>
      </c>
      <c r="C21" s="16" t="s">
        <v>103</v>
      </c>
      <c r="D21" s="77">
        <v>11.9</v>
      </c>
      <c r="E21" s="77">
        <v>10</v>
      </c>
      <c r="F21" s="158">
        <v>12.1</v>
      </c>
      <c r="G21" s="214" t="s">
        <v>146</v>
      </c>
    </row>
    <row r="22" spans="1:7" s="15" customFormat="1" ht="68.45" customHeight="1" x14ac:dyDescent="0.25">
      <c r="A22" s="36" t="s">
        <v>198</v>
      </c>
      <c r="B22" s="37" t="s">
        <v>214</v>
      </c>
      <c r="C22" s="16" t="s">
        <v>103</v>
      </c>
      <c r="D22" s="72">
        <v>15.1</v>
      </c>
      <c r="E22" s="77">
        <v>12</v>
      </c>
      <c r="F22" s="158">
        <v>12.2</v>
      </c>
      <c r="G22" s="214" t="s">
        <v>146</v>
      </c>
    </row>
    <row r="23" spans="1:7" s="15" customFormat="1" ht="47.25" x14ac:dyDescent="0.25">
      <c r="A23" s="36" t="s">
        <v>199</v>
      </c>
      <c r="B23" s="37" t="s">
        <v>206</v>
      </c>
      <c r="C23" s="16" t="s">
        <v>103</v>
      </c>
      <c r="D23" s="72">
        <v>3.8</v>
      </c>
      <c r="E23" s="77">
        <v>3</v>
      </c>
      <c r="F23" s="158">
        <v>3.8</v>
      </c>
      <c r="G23" s="214" t="s">
        <v>146</v>
      </c>
    </row>
    <row r="24" spans="1:7" s="15" customFormat="1" ht="78.75" x14ac:dyDescent="0.25">
      <c r="A24" s="36" t="s">
        <v>200</v>
      </c>
      <c r="B24" s="37" t="s">
        <v>207</v>
      </c>
      <c r="C24" s="16" t="s">
        <v>103</v>
      </c>
      <c r="D24" s="77">
        <v>3.4</v>
      </c>
      <c r="E24" s="77">
        <v>2</v>
      </c>
      <c r="F24" s="153">
        <v>2.9</v>
      </c>
      <c r="G24" s="214" t="s">
        <v>146</v>
      </c>
    </row>
    <row r="25" spans="1:7" s="15" customFormat="1" ht="47.25" x14ac:dyDescent="0.25">
      <c r="A25" s="36" t="s">
        <v>201</v>
      </c>
      <c r="B25" s="37" t="s">
        <v>211</v>
      </c>
      <c r="C25" s="16" t="s">
        <v>103</v>
      </c>
      <c r="D25" s="72">
        <v>22.9</v>
      </c>
      <c r="E25" s="77">
        <v>10</v>
      </c>
      <c r="F25" s="153">
        <v>18.8</v>
      </c>
      <c r="G25" s="214" t="s">
        <v>146</v>
      </c>
    </row>
    <row r="26" spans="1:7" s="15" customFormat="1" ht="51.6" customHeight="1" x14ac:dyDescent="0.25">
      <c r="A26" s="36" t="s">
        <v>202</v>
      </c>
      <c r="B26" s="37" t="s">
        <v>208</v>
      </c>
      <c r="C26" s="16" t="s">
        <v>103</v>
      </c>
      <c r="D26" s="72">
        <v>24.7</v>
      </c>
      <c r="E26" s="77">
        <v>10</v>
      </c>
      <c r="F26" s="153">
        <v>20.2</v>
      </c>
      <c r="G26" s="214" t="s">
        <v>146</v>
      </c>
    </row>
    <row r="27" spans="1:7" s="15" customFormat="1" ht="47.25" x14ac:dyDescent="0.25">
      <c r="A27" s="36" t="s">
        <v>203</v>
      </c>
      <c r="B27" s="37" t="s">
        <v>216</v>
      </c>
      <c r="C27" s="16" t="s">
        <v>103</v>
      </c>
      <c r="D27" s="77">
        <v>8.4</v>
      </c>
      <c r="E27" s="77">
        <v>3</v>
      </c>
      <c r="F27" s="153">
        <v>6.8</v>
      </c>
      <c r="G27" s="214" t="s">
        <v>146</v>
      </c>
    </row>
    <row r="28" spans="1:7" s="15" customFormat="1" ht="94.5" x14ac:dyDescent="0.25">
      <c r="A28" s="36" t="s">
        <v>204</v>
      </c>
      <c r="B28" s="37" t="s">
        <v>209</v>
      </c>
      <c r="C28" s="16" t="s">
        <v>103</v>
      </c>
      <c r="D28" s="72">
        <v>0.5</v>
      </c>
      <c r="E28" s="72">
        <v>0.3</v>
      </c>
      <c r="F28" s="158">
        <v>0.5</v>
      </c>
      <c r="G28" s="214" t="s">
        <v>146</v>
      </c>
    </row>
    <row r="29" spans="1:7" ht="31.5" x14ac:dyDescent="0.25">
      <c r="A29" s="36" t="s">
        <v>205</v>
      </c>
      <c r="B29" s="37" t="s">
        <v>210</v>
      </c>
      <c r="C29" s="16" t="s">
        <v>103</v>
      </c>
      <c r="D29" s="72">
        <v>52.4</v>
      </c>
      <c r="E29" s="77">
        <v>44</v>
      </c>
      <c r="F29" s="158">
        <v>55.6</v>
      </c>
      <c r="G29" s="214" t="s">
        <v>146</v>
      </c>
    </row>
    <row r="30" spans="1:7" s="59" customFormat="1" ht="110.25" x14ac:dyDescent="0.25">
      <c r="A30" s="36" t="s">
        <v>278</v>
      </c>
      <c r="B30" s="37" t="s">
        <v>280</v>
      </c>
      <c r="C30" s="16" t="s">
        <v>113</v>
      </c>
      <c r="D30" s="72">
        <v>41</v>
      </c>
      <c r="E30" s="120">
        <v>40</v>
      </c>
      <c r="F30" s="158">
        <v>46</v>
      </c>
      <c r="G30" s="214" t="s">
        <v>146</v>
      </c>
    </row>
    <row r="31" spans="1:7" s="59" customFormat="1" ht="94.5" customHeight="1" x14ac:dyDescent="0.25">
      <c r="A31" s="117" t="s">
        <v>285</v>
      </c>
      <c r="B31" s="115" t="s">
        <v>286</v>
      </c>
      <c r="C31" s="16" t="s">
        <v>113</v>
      </c>
      <c r="D31" s="72" t="s">
        <v>146</v>
      </c>
      <c r="E31" s="120">
        <v>1736</v>
      </c>
      <c r="F31" s="158">
        <v>3281</v>
      </c>
      <c r="G31" s="214" t="s">
        <v>146</v>
      </c>
    </row>
    <row r="32" spans="1:7" s="59" customFormat="1" ht="78.75" x14ac:dyDescent="0.25">
      <c r="A32" s="117" t="s">
        <v>287</v>
      </c>
      <c r="B32" s="115" t="s">
        <v>288</v>
      </c>
      <c r="C32" s="16" t="s">
        <v>113</v>
      </c>
      <c r="D32" s="72" t="s">
        <v>146</v>
      </c>
      <c r="E32" s="120">
        <v>100</v>
      </c>
      <c r="F32" s="158">
        <v>456</v>
      </c>
      <c r="G32" s="214" t="s">
        <v>146</v>
      </c>
    </row>
    <row r="33" spans="1:7" s="59" customFormat="1" ht="78.75" x14ac:dyDescent="0.25">
      <c r="A33" s="117" t="s">
        <v>289</v>
      </c>
      <c r="B33" s="115" t="s">
        <v>290</v>
      </c>
      <c r="C33" s="16" t="s">
        <v>103</v>
      </c>
      <c r="D33" s="72" t="s">
        <v>146</v>
      </c>
      <c r="E33" s="120">
        <v>100</v>
      </c>
      <c r="F33" s="158">
        <v>100</v>
      </c>
      <c r="G33" s="214" t="s">
        <v>146</v>
      </c>
    </row>
    <row r="34" spans="1:7" s="59" customFormat="1" ht="47.25" x14ac:dyDescent="0.25">
      <c r="A34" s="154" t="s">
        <v>291</v>
      </c>
      <c r="B34" s="156" t="s">
        <v>292</v>
      </c>
      <c r="C34" s="158" t="s">
        <v>103</v>
      </c>
      <c r="D34" s="158" t="s">
        <v>146</v>
      </c>
      <c r="E34" s="120">
        <v>60</v>
      </c>
      <c r="F34" s="158">
        <v>61.7</v>
      </c>
      <c r="G34" s="214" t="s">
        <v>146</v>
      </c>
    </row>
    <row r="35" spans="1:7" s="59" customFormat="1" ht="47.25" x14ac:dyDescent="0.25">
      <c r="A35" s="154" t="s">
        <v>293</v>
      </c>
      <c r="B35" s="156" t="s">
        <v>294</v>
      </c>
      <c r="C35" s="158" t="s">
        <v>103</v>
      </c>
      <c r="D35" s="158" t="s">
        <v>146</v>
      </c>
      <c r="E35" s="120">
        <v>60</v>
      </c>
      <c r="F35" s="158">
        <v>61.8</v>
      </c>
      <c r="G35" s="214" t="s">
        <v>146</v>
      </c>
    </row>
    <row r="36" spans="1:7" s="15" customFormat="1" ht="47.25" x14ac:dyDescent="0.25">
      <c r="A36" s="117" t="s">
        <v>310</v>
      </c>
      <c r="B36" s="115" t="s">
        <v>342</v>
      </c>
      <c r="C36" s="114" t="s">
        <v>103</v>
      </c>
      <c r="D36" s="17" t="s">
        <v>146</v>
      </c>
      <c r="E36" s="125">
        <v>85</v>
      </c>
      <c r="F36" s="133">
        <v>93.2</v>
      </c>
      <c r="G36" s="214" t="s">
        <v>146</v>
      </c>
    </row>
    <row r="37" spans="1:7" s="15" customFormat="1" ht="63" x14ac:dyDescent="0.25">
      <c r="A37" s="117" t="s">
        <v>311</v>
      </c>
      <c r="B37" s="115" t="s">
        <v>341</v>
      </c>
      <c r="C37" s="114" t="s">
        <v>103</v>
      </c>
      <c r="D37" s="17" t="s">
        <v>146</v>
      </c>
      <c r="E37" s="125">
        <v>85</v>
      </c>
      <c r="F37" s="133">
        <v>100</v>
      </c>
      <c r="G37" s="214" t="s">
        <v>146</v>
      </c>
    </row>
    <row r="38" spans="1:7" s="15" customFormat="1" ht="63" x14ac:dyDescent="0.25">
      <c r="A38" s="117" t="s">
        <v>312</v>
      </c>
      <c r="B38" s="115" t="s">
        <v>335</v>
      </c>
      <c r="C38" s="114" t="s">
        <v>103</v>
      </c>
      <c r="D38" s="17" t="s">
        <v>146</v>
      </c>
      <c r="E38" s="131">
        <v>4</v>
      </c>
      <c r="F38" s="133">
        <v>1.9</v>
      </c>
      <c r="G38" s="214" t="s">
        <v>146</v>
      </c>
    </row>
    <row r="39" spans="1:7" s="19" customFormat="1" ht="306" x14ac:dyDescent="0.25">
      <c r="A39" s="117" t="s">
        <v>313</v>
      </c>
      <c r="B39" s="115" t="s">
        <v>314</v>
      </c>
      <c r="C39" s="114" t="s">
        <v>103</v>
      </c>
      <c r="D39" s="17" t="s">
        <v>146</v>
      </c>
      <c r="E39" s="125">
        <v>60.5</v>
      </c>
      <c r="F39" s="214" t="s">
        <v>496</v>
      </c>
      <c r="G39" s="214" t="s">
        <v>447</v>
      </c>
    </row>
    <row r="40" spans="1:7" x14ac:dyDescent="0.25">
      <c r="A40" s="111"/>
      <c r="B40" s="112" t="s">
        <v>118</v>
      </c>
      <c r="C40" s="113"/>
      <c r="D40" s="17"/>
      <c r="E40" s="121"/>
      <c r="F40" s="133"/>
      <c r="G40" s="214" t="s">
        <v>146</v>
      </c>
    </row>
    <row r="41" spans="1:7" s="19" customFormat="1" ht="52.5" customHeight="1" x14ac:dyDescent="0.25">
      <c r="A41" s="111" t="s">
        <v>119</v>
      </c>
      <c r="B41" s="37" t="s">
        <v>120</v>
      </c>
      <c r="C41" s="16" t="s">
        <v>113</v>
      </c>
      <c r="D41" s="158">
        <v>878</v>
      </c>
      <c r="E41" s="72">
        <v>1065</v>
      </c>
      <c r="F41" s="158">
        <v>809</v>
      </c>
      <c r="G41" s="246" t="s">
        <v>146</v>
      </c>
    </row>
    <row r="42" spans="1:7" ht="39.75" customHeight="1" x14ac:dyDescent="0.25">
      <c r="A42" s="111" t="s">
        <v>121</v>
      </c>
      <c r="B42" s="37" t="s">
        <v>122</v>
      </c>
      <c r="C42" s="16" t="s">
        <v>123</v>
      </c>
      <c r="D42" s="72">
        <v>43</v>
      </c>
      <c r="E42" s="72">
        <v>47</v>
      </c>
      <c r="F42" s="158" t="s">
        <v>450</v>
      </c>
      <c r="G42" s="246" t="s">
        <v>146</v>
      </c>
    </row>
    <row r="43" spans="1:7" ht="47.25" x14ac:dyDescent="0.25">
      <c r="A43" s="111" t="s">
        <v>124</v>
      </c>
      <c r="B43" s="37" t="s">
        <v>125</v>
      </c>
      <c r="C43" s="16" t="s">
        <v>113</v>
      </c>
      <c r="D43" s="72">
        <v>7</v>
      </c>
      <c r="E43" s="72">
        <v>25</v>
      </c>
      <c r="F43" s="158">
        <v>9</v>
      </c>
      <c r="G43" s="246" t="s">
        <v>146</v>
      </c>
    </row>
    <row r="44" spans="1:7" ht="34.5" customHeight="1" x14ac:dyDescent="0.25">
      <c r="A44" s="111" t="s">
        <v>126</v>
      </c>
      <c r="B44" s="37" t="s">
        <v>127</v>
      </c>
      <c r="C44" s="16" t="s">
        <v>128</v>
      </c>
      <c r="D44" s="72">
        <v>991.7</v>
      </c>
      <c r="E44" s="77">
        <v>992.8</v>
      </c>
      <c r="F44" s="158">
        <v>1042.3</v>
      </c>
      <c r="G44" s="246" t="s">
        <v>146</v>
      </c>
    </row>
    <row r="45" spans="1:7" ht="39" customHeight="1" x14ac:dyDescent="0.25">
      <c r="A45" s="111" t="s">
        <v>129</v>
      </c>
      <c r="B45" s="37" t="s">
        <v>130</v>
      </c>
      <c r="C45" s="16" t="s">
        <v>108</v>
      </c>
      <c r="D45" s="72">
        <v>135816</v>
      </c>
      <c r="E45" s="72">
        <v>53000</v>
      </c>
      <c r="F45" s="158">
        <v>133119</v>
      </c>
      <c r="G45" s="246" t="s">
        <v>146</v>
      </c>
    </row>
    <row r="46" spans="1:7" ht="146.25" customHeight="1" x14ac:dyDescent="0.25">
      <c r="A46" s="111" t="s">
        <v>131</v>
      </c>
      <c r="B46" s="37" t="s">
        <v>132</v>
      </c>
      <c r="C46" s="16" t="s">
        <v>113</v>
      </c>
      <c r="D46" s="72">
        <v>196927</v>
      </c>
      <c r="E46" s="72">
        <v>195000</v>
      </c>
      <c r="F46" s="158">
        <v>202962</v>
      </c>
      <c r="G46" s="247" t="s">
        <v>495</v>
      </c>
    </row>
    <row r="47" spans="1:7" ht="152.25" customHeight="1" x14ac:dyDescent="0.25">
      <c r="A47" s="245" t="s">
        <v>133</v>
      </c>
      <c r="B47" s="156" t="s">
        <v>134</v>
      </c>
      <c r="C47" s="220" t="s">
        <v>103</v>
      </c>
      <c r="D47" s="220">
        <v>13.3</v>
      </c>
      <c r="E47" s="220">
        <v>13.2</v>
      </c>
      <c r="F47" s="220">
        <v>13.5</v>
      </c>
      <c r="G47" s="248" t="s">
        <v>451</v>
      </c>
    </row>
    <row r="48" spans="1:7" ht="47.25" x14ac:dyDescent="0.25">
      <c r="A48" s="245"/>
      <c r="B48" s="110" t="s">
        <v>31</v>
      </c>
      <c r="C48" s="118"/>
      <c r="D48" s="220"/>
      <c r="E48" s="119"/>
      <c r="F48" s="220"/>
      <c r="G48" s="214" t="s">
        <v>146</v>
      </c>
    </row>
    <row r="49" spans="1:12" ht="409.5" customHeight="1" x14ac:dyDescent="0.25">
      <c r="A49" s="111" t="s">
        <v>355</v>
      </c>
      <c r="B49" s="156" t="s">
        <v>135</v>
      </c>
      <c r="C49" s="16" t="s">
        <v>113</v>
      </c>
      <c r="D49" s="135">
        <v>547</v>
      </c>
      <c r="E49" s="220">
        <v>500</v>
      </c>
      <c r="F49" s="135">
        <v>428</v>
      </c>
      <c r="G49" s="214" t="s">
        <v>497</v>
      </c>
    </row>
    <row r="50" spans="1:12" ht="147" customHeight="1" x14ac:dyDescent="0.25">
      <c r="A50" s="111" t="s">
        <v>356</v>
      </c>
      <c r="B50" s="115" t="s">
        <v>136</v>
      </c>
      <c r="C50" s="114" t="s">
        <v>103</v>
      </c>
      <c r="D50" s="135">
        <v>100</v>
      </c>
      <c r="E50" s="133">
        <v>100</v>
      </c>
      <c r="F50" s="183">
        <v>94.8</v>
      </c>
      <c r="G50" s="251" t="s">
        <v>498</v>
      </c>
    </row>
    <row r="51" spans="1:12" ht="120" customHeight="1" x14ac:dyDescent="0.25">
      <c r="A51" s="111" t="s">
        <v>357</v>
      </c>
      <c r="B51" s="156" t="s">
        <v>137</v>
      </c>
      <c r="C51" s="16" t="s">
        <v>103</v>
      </c>
      <c r="D51" s="135">
        <v>0</v>
      </c>
      <c r="E51" s="220">
        <v>10</v>
      </c>
      <c r="F51" s="135">
        <v>0</v>
      </c>
      <c r="G51" s="248" t="s">
        <v>472</v>
      </c>
    </row>
    <row r="52" spans="1:12" ht="87" customHeight="1" x14ac:dyDescent="0.25">
      <c r="A52" s="111" t="s">
        <v>358</v>
      </c>
      <c r="B52" s="156" t="s">
        <v>138</v>
      </c>
      <c r="C52" s="16" t="s">
        <v>103</v>
      </c>
      <c r="D52" s="135">
        <v>10.8</v>
      </c>
      <c r="E52" s="220">
        <v>5</v>
      </c>
      <c r="F52" s="250">
        <v>13.8</v>
      </c>
      <c r="G52" s="249" t="s">
        <v>468</v>
      </c>
    </row>
    <row r="53" spans="1:12" ht="69" customHeight="1" x14ac:dyDescent="0.25">
      <c r="A53" s="111" t="s">
        <v>359</v>
      </c>
      <c r="B53" s="156" t="s">
        <v>139</v>
      </c>
      <c r="C53" s="16" t="s">
        <v>103</v>
      </c>
      <c r="D53" s="135">
        <v>62.7</v>
      </c>
      <c r="E53" s="220">
        <v>72</v>
      </c>
      <c r="F53" s="135">
        <v>71.7</v>
      </c>
      <c r="G53" s="248" t="s">
        <v>473</v>
      </c>
    </row>
    <row r="54" spans="1:12" ht="78" customHeight="1" x14ac:dyDescent="0.25">
      <c r="A54" s="111" t="s">
        <v>360</v>
      </c>
      <c r="B54" s="156" t="s">
        <v>140</v>
      </c>
      <c r="C54" s="16" t="s">
        <v>103</v>
      </c>
      <c r="D54" s="135">
        <v>62.5</v>
      </c>
      <c r="E54" s="220">
        <v>70</v>
      </c>
      <c r="F54" s="135">
        <v>71.7</v>
      </c>
      <c r="G54" s="248" t="s">
        <v>473</v>
      </c>
    </row>
    <row r="55" spans="1:12" ht="72" customHeight="1" x14ac:dyDescent="0.25">
      <c r="A55" s="111" t="s">
        <v>361</v>
      </c>
      <c r="B55" s="156" t="s">
        <v>141</v>
      </c>
      <c r="C55" s="114" t="s">
        <v>103</v>
      </c>
      <c r="D55" s="135">
        <v>0</v>
      </c>
      <c r="E55" s="220">
        <v>2</v>
      </c>
      <c r="F55" s="135">
        <v>0</v>
      </c>
      <c r="G55" s="248" t="s">
        <v>474</v>
      </c>
    </row>
    <row r="56" spans="1:12" ht="77.25" customHeight="1" x14ac:dyDescent="0.25">
      <c r="A56" s="111" t="s">
        <v>362</v>
      </c>
      <c r="B56" s="156" t="s">
        <v>142</v>
      </c>
      <c r="C56" s="114" t="s">
        <v>103</v>
      </c>
      <c r="D56" s="135">
        <v>100</v>
      </c>
      <c r="E56" s="220">
        <v>100</v>
      </c>
      <c r="F56" s="135">
        <v>100</v>
      </c>
      <c r="G56" s="214" t="s">
        <v>146</v>
      </c>
    </row>
    <row r="57" spans="1:12" ht="212.25" customHeight="1" x14ac:dyDescent="0.25">
      <c r="A57" s="111" t="s">
        <v>363</v>
      </c>
      <c r="B57" s="44" t="s">
        <v>143</v>
      </c>
      <c r="C57" s="243" t="s">
        <v>103</v>
      </c>
      <c r="D57" s="135">
        <v>8.1999999999999993</v>
      </c>
      <c r="E57" s="135">
        <v>14</v>
      </c>
      <c r="F57" s="220">
        <v>0.5</v>
      </c>
      <c r="G57" s="251" t="s">
        <v>482</v>
      </c>
    </row>
    <row r="58" spans="1:12" ht="132" customHeight="1" x14ac:dyDescent="0.25">
      <c r="A58" s="111" t="s">
        <v>364</v>
      </c>
      <c r="B58" s="44" t="s">
        <v>144</v>
      </c>
      <c r="C58" s="244" t="s">
        <v>103</v>
      </c>
      <c r="D58" s="135">
        <v>71.5</v>
      </c>
      <c r="E58" s="135">
        <v>95</v>
      </c>
      <c r="F58" s="135">
        <v>94.5</v>
      </c>
      <c r="G58" s="249" t="s">
        <v>469</v>
      </c>
    </row>
    <row r="59" spans="1:12" ht="21.6" customHeight="1" x14ac:dyDescent="0.25">
      <c r="A59" s="306" t="s">
        <v>235</v>
      </c>
      <c r="B59" s="307"/>
      <c r="C59" s="307"/>
      <c r="D59" s="307"/>
      <c r="E59" s="307"/>
      <c r="F59" s="307"/>
      <c r="G59" s="307"/>
    </row>
    <row r="60" spans="1:12" ht="30" customHeight="1" x14ac:dyDescent="0.25">
      <c r="A60" s="304" t="s">
        <v>236</v>
      </c>
      <c r="B60" s="305"/>
      <c r="C60" s="305"/>
      <c r="D60" s="305"/>
      <c r="E60" s="305"/>
      <c r="F60" s="305"/>
      <c r="G60" s="305"/>
    </row>
    <row r="61" spans="1:12" ht="15.75" customHeight="1" x14ac:dyDescent="0.25">
      <c r="A61" s="304" t="s">
        <v>237</v>
      </c>
      <c r="B61" s="305"/>
      <c r="C61" s="305"/>
      <c r="D61" s="305"/>
      <c r="E61" s="305"/>
      <c r="F61" s="305"/>
      <c r="G61" s="305"/>
    </row>
    <row r="62" spans="1:12" ht="15.75" customHeight="1" x14ac:dyDescent="0.25">
      <c r="A62" s="304" t="s">
        <v>470</v>
      </c>
      <c r="B62" s="305"/>
      <c r="C62" s="305"/>
      <c r="D62" s="305"/>
      <c r="E62" s="305"/>
      <c r="F62" s="305"/>
      <c r="G62" s="305"/>
    </row>
    <row r="63" spans="1:12" s="59" customFormat="1" ht="10.5" customHeight="1" x14ac:dyDescent="0.25">
      <c r="A63" s="316"/>
      <c r="B63" s="316"/>
      <c r="C63" s="316"/>
      <c r="D63" s="316"/>
      <c r="E63" s="316"/>
      <c r="F63" s="316"/>
      <c r="G63" s="316"/>
    </row>
    <row r="64" spans="1:12" ht="37.5" customHeight="1" x14ac:dyDescent="0.25">
      <c r="A64" s="312" t="s">
        <v>491</v>
      </c>
      <c r="B64" s="312"/>
      <c r="C64" s="11"/>
      <c r="D64" s="11"/>
      <c r="E64" s="11"/>
      <c r="F64" s="303" t="s">
        <v>492</v>
      </c>
      <c r="G64" s="303"/>
      <c r="H64" s="13"/>
      <c r="I64" s="13"/>
      <c r="J64" s="13"/>
      <c r="K64" s="13"/>
      <c r="L64" s="13"/>
    </row>
    <row r="65" spans="1:12" ht="25.5" customHeight="1" x14ac:dyDescent="0.25">
      <c r="A65" s="8"/>
      <c r="B65" s="3" t="s">
        <v>5</v>
      </c>
      <c r="C65" s="9"/>
      <c r="D65" s="9"/>
      <c r="E65" s="9"/>
      <c r="F65" s="308"/>
      <c r="G65" s="308"/>
      <c r="H65" s="10"/>
      <c r="I65" s="10"/>
      <c r="J65" s="10"/>
      <c r="K65" s="10"/>
      <c r="L65" s="10"/>
    </row>
    <row r="66" spans="1:12" s="59" customFormat="1" ht="22.5" hidden="1" customHeight="1" x14ac:dyDescent="0.25">
      <c r="A66" s="61"/>
      <c r="B66" s="60"/>
      <c r="C66" s="9"/>
      <c r="D66" s="9"/>
      <c r="E66" s="9"/>
      <c r="F66" s="184"/>
      <c r="G66" s="53"/>
      <c r="H66" s="62"/>
      <c r="I66" s="62"/>
      <c r="J66" s="62"/>
      <c r="K66" s="62"/>
      <c r="L66" s="62"/>
    </row>
    <row r="67" spans="1:12" s="59" customFormat="1" ht="18" hidden="1" customHeight="1" x14ac:dyDescent="0.25">
      <c r="A67" s="61"/>
      <c r="B67" s="60"/>
      <c r="C67" s="9"/>
      <c r="D67" s="9"/>
      <c r="E67" s="9"/>
      <c r="F67" s="184"/>
      <c r="G67" s="53"/>
      <c r="H67" s="62"/>
      <c r="I67" s="62"/>
      <c r="J67" s="62"/>
      <c r="K67" s="62"/>
      <c r="L67" s="62"/>
    </row>
    <row r="68" spans="1:12" ht="17.25" customHeight="1" x14ac:dyDescent="0.25">
      <c r="A68" s="155" t="s">
        <v>493</v>
      </c>
      <c r="B68" s="8"/>
      <c r="C68" s="7"/>
      <c r="D68" s="7"/>
      <c r="E68" s="7"/>
      <c r="F68" s="185"/>
      <c r="G68" s="185"/>
      <c r="H68" s="10"/>
      <c r="I68" s="10"/>
      <c r="J68" s="10"/>
      <c r="K68" s="10"/>
      <c r="L68" s="10"/>
    </row>
    <row r="69" spans="1:12" x14ac:dyDescent="0.25">
      <c r="A69" s="159" t="s">
        <v>494</v>
      </c>
      <c r="F69" s="152"/>
      <c r="G69" s="53"/>
    </row>
  </sheetData>
  <mergeCells count="22">
    <mergeCell ref="F65:G65"/>
    <mergeCell ref="K1:O1"/>
    <mergeCell ref="K2:O2"/>
    <mergeCell ref="A6:G6"/>
    <mergeCell ref="A1:G1"/>
    <mergeCell ref="A2:G2"/>
    <mergeCell ref="A3:G3"/>
    <mergeCell ref="A4:G4"/>
    <mergeCell ref="A5:G5"/>
    <mergeCell ref="A64:B64"/>
    <mergeCell ref="C8:C10"/>
    <mergeCell ref="G8:G10"/>
    <mergeCell ref="A8:A10"/>
    <mergeCell ref="B8:B10"/>
    <mergeCell ref="D8:F8"/>
    <mergeCell ref="A63:G63"/>
    <mergeCell ref="E9:F9"/>
    <mergeCell ref="F64:G64"/>
    <mergeCell ref="A60:G60"/>
    <mergeCell ref="A59:G59"/>
    <mergeCell ref="A61:G61"/>
    <mergeCell ref="A62:G62"/>
  </mergeCells>
  <pageMargins left="0.51181102362204722" right="0.11811023622047245" top="0.35433070866141736" bottom="0.35433070866141736" header="0.11811023622047245" footer="0.11811023622047245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33"/>
  <sheetViews>
    <sheetView view="pageBreakPreview" zoomScale="60" zoomScaleNormal="70" zoomScalePageLayoutView="55" workbookViewId="0">
      <pane ySplit="1" topLeftCell="A119" activePane="bottomLeft" state="frozen"/>
      <selection pane="bottomLeft" activeCell="A127" sqref="A127:E127"/>
    </sheetView>
  </sheetViews>
  <sheetFormatPr defaultColWidth="9.140625" defaultRowHeight="15.75" x14ac:dyDescent="0.25"/>
  <cols>
    <col min="1" max="1" width="12.85546875" style="19" customWidth="1"/>
    <col min="2" max="2" width="34.5703125" style="19" customWidth="1"/>
    <col min="3" max="3" width="9.42578125" style="19" customWidth="1"/>
    <col min="4" max="4" width="22.140625" style="19" customWidth="1"/>
    <col min="5" max="5" width="17.28515625" style="19" customWidth="1"/>
    <col min="6" max="6" width="14.7109375" style="19" customWidth="1"/>
    <col min="7" max="7" width="14" style="19" customWidth="1"/>
    <col min="8" max="8" width="13.85546875" style="19" customWidth="1"/>
    <col min="9" max="9" width="16.42578125" style="20" customWidth="1"/>
    <col min="10" max="10" width="13.7109375" style="19" customWidth="1"/>
    <col min="11" max="11" width="13.42578125" style="19" customWidth="1"/>
    <col min="12" max="12" width="13.140625" style="19" customWidth="1"/>
    <col min="13" max="13" width="12.28515625" style="19" customWidth="1"/>
    <col min="14" max="14" width="11.140625" style="19" customWidth="1"/>
    <col min="15" max="15" width="11.7109375" style="19" customWidth="1"/>
    <col min="16" max="16" width="12" style="19" customWidth="1"/>
    <col min="17" max="17" width="24.28515625" style="19" customWidth="1"/>
    <col min="18" max="18" width="17.5703125" style="19" customWidth="1"/>
    <col min="19" max="19" width="10.5703125" style="19" bestFit="1" customWidth="1"/>
    <col min="20" max="20" width="13.42578125" style="19" customWidth="1"/>
    <col min="21" max="21" width="14.28515625" style="19" customWidth="1"/>
    <col min="22" max="22" width="12.42578125" style="19" customWidth="1"/>
    <col min="23" max="23" width="12.5703125" style="19" customWidth="1"/>
    <col min="24" max="24" width="15.7109375" style="19" customWidth="1"/>
    <col min="25" max="16384" width="9.140625" style="19"/>
  </cols>
  <sheetData>
    <row r="1" spans="1:24" ht="30.75" customHeight="1" x14ac:dyDescent="0.25">
      <c r="A1" s="272" t="s">
        <v>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24" x14ac:dyDescent="0.25">
      <c r="A2" s="272" t="s">
        <v>238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24" x14ac:dyDescent="0.25">
      <c r="A3" s="317" t="s">
        <v>145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21"/>
      <c r="S3" s="21"/>
      <c r="T3" s="21"/>
      <c r="U3" s="21"/>
      <c r="V3" s="21"/>
    </row>
    <row r="4" spans="1:24" ht="13.15" customHeight="1" x14ac:dyDescent="0.25">
      <c r="A4" s="273" t="s">
        <v>4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1"/>
      <c r="S4" s="21"/>
      <c r="T4" s="21"/>
      <c r="U4" s="21"/>
      <c r="V4" s="21"/>
    </row>
    <row r="5" spans="1:24" x14ac:dyDescent="0.25">
      <c r="A5" s="317" t="s">
        <v>430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1"/>
      <c r="S5" s="21"/>
      <c r="T5" s="21"/>
      <c r="U5" s="21"/>
      <c r="V5" s="21"/>
    </row>
    <row r="6" spans="1:24" x14ac:dyDescent="0.2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2"/>
      <c r="S6" s="22"/>
      <c r="T6" s="22"/>
      <c r="U6" s="22"/>
      <c r="V6" s="22"/>
    </row>
    <row r="7" spans="1:24" s="23" customFormat="1" ht="35.25" customHeight="1" x14ac:dyDescent="0.25">
      <c r="A7" s="313" t="s">
        <v>239</v>
      </c>
      <c r="B7" s="313" t="s">
        <v>240</v>
      </c>
      <c r="C7" s="313" t="s">
        <v>241</v>
      </c>
      <c r="D7" s="313" t="s">
        <v>242</v>
      </c>
      <c r="E7" s="313" t="s">
        <v>243</v>
      </c>
      <c r="F7" s="313" t="s">
        <v>244</v>
      </c>
      <c r="G7" s="313" t="s">
        <v>245</v>
      </c>
      <c r="H7" s="313" t="s">
        <v>246</v>
      </c>
      <c r="I7" s="313" t="s">
        <v>247</v>
      </c>
      <c r="J7" s="313"/>
      <c r="K7" s="313"/>
      <c r="L7" s="313"/>
      <c r="M7" s="313"/>
      <c r="N7" s="313"/>
      <c r="O7" s="313"/>
      <c r="P7" s="313"/>
      <c r="Q7" s="282" t="s">
        <v>248</v>
      </c>
    </row>
    <row r="8" spans="1:24" s="23" customFormat="1" ht="34.5" customHeight="1" x14ac:dyDescent="0.25">
      <c r="A8" s="313"/>
      <c r="B8" s="313"/>
      <c r="C8" s="313"/>
      <c r="D8" s="313"/>
      <c r="E8" s="313"/>
      <c r="F8" s="313"/>
      <c r="G8" s="313"/>
      <c r="H8" s="313"/>
      <c r="I8" s="321" t="s">
        <v>249</v>
      </c>
      <c r="J8" s="321"/>
      <c r="K8" s="321" t="s">
        <v>250</v>
      </c>
      <c r="L8" s="321"/>
      <c r="M8" s="321" t="s">
        <v>251</v>
      </c>
      <c r="N8" s="321"/>
      <c r="O8" s="321" t="s">
        <v>252</v>
      </c>
      <c r="P8" s="321"/>
      <c r="Q8" s="282"/>
    </row>
    <row r="9" spans="1:24" s="23" customFormat="1" ht="50.45" customHeight="1" x14ac:dyDescent="0.25">
      <c r="A9" s="313"/>
      <c r="B9" s="313"/>
      <c r="C9" s="313"/>
      <c r="D9" s="313"/>
      <c r="E9" s="313"/>
      <c r="F9" s="313"/>
      <c r="G9" s="313"/>
      <c r="H9" s="313"/>
      <c r="I9" s="24" t="s">
        <v>13</v>
      </c>
      <c r="J9" s="25" t="s">
        <v>14</v>
      </c>
      <c r="K9" s="25" t="s">
        <v>13</v>
      </c>
      <c r="L9" s="25" t="s">
        <v>14</v>
      </c>
      <c r="M9" s="25" t="s">
        <v>13</v>
      </c>
      <c r="N9" s="76" t="s">
        <v>279</v>
      </c>
      <c r="O9" s="25" t="s">
        <v>13</v>
      </c>
      <c r="P9" s="25" t="s">
        <v>14</v>
      </c>
      <c r="Q9" s="282"/>
    </row>
    <row r="10" spans="1:24" x14ac:dyDescent="0.2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7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</row>
    <row r="11" spans="1:24" s="34" customFormat="1" ht="47.25" x14ac:dyDescent="0.25">
      <c r="A11" s="28"/>
      <c r="B11" s="29" t="s">
        <v>36</v>
      </c>
      <c r="C11" s="30"/>
      <c r="D11" s="30"/>
      <c r="E11" s="31"/>
      <c r="F11" s="31"/>
      <c r="G11" s="31"/>
      <c r="H11" s="31"/>
      <c r="I11" s="32"/>
      <c r="J11" s="32"/>
      <c r="K11" s="32"/>
      <c r="L11" s="32"/>
      <c r="M11" s="32"/>
      <c r="N11" s="74"/>
      <c r="O11" s="33"/>
      <c r="P11" s="32"/>
      <c r="Q11" s="32"/>
      <c r="S11" s="35">
        <f>I11+K11+M11+O11</f>
        <v>0</v>
      </c>
      <c r="T11" s="35">
        <f>J11+L11+N11+P11</f>
        <v>0</v>
      </c>
      <c r="W11" s="20">
        <f t="shared" ref="W11:W39" si="0">U11-J11-L11</f>
        <v>0</v>
      </c>
    </row>
    <row r="12" spans="1:24" ht="129.75" customHeight="1" x14ac:dyDescent="0.25">
      <c r="A12" s="36" t="s">
        <v>32</v>
      </c>
      <c r="B12" s="37" t="s">
        <v>385</v>
      </c>
      <c r="C12" s="12" t="s">
        <v>253</v>
      </c>
      <c r="D12" s="38" t="s">
        <v>343</v>
      </c>
      <c r="E12" s="39">
        <v>43474</v>
      </c>
      <c r="F12" s="39">
        <v>43830</v>
      </c>
      <c r="G12" s="39">
        <v>43474</v>
      </c>
      <c r="H12" s="40">
        <v>43830</v>
      </c>
      <c r="I12" s="41">
        <v>413.2</v>
      </c>
      <c r="J12" s="41">
        <v>413.2</v>
      </c>
      <c r="K12" s="32">
        <v>698.6</v>
      </c>
      <c r="L12" s="41">
        <v>698.6</v>
      </c>
      <c r="M12" s="42">
        <v>398.5</v>
      </c>
      <c r="N12" s="75">
        <f>U12-L12-J12</f>
        <v>461.49999999999994</v>
      </c>
      <c r="O12" s="41">
        <v>1464.5</v>
      </c>
      <c r="P12" s="221">
        <f>2969.8-J12-L12-N12</f>
        <v>1396.5000000000005</v>
      </c>
      <c r="Q12" s="32" t="s">
        <v>146</v>
      </c>
      <c r="R12" s="20">
        <f>I12+K12+M12+O12</f>
        <v>2974.8</v>
      </c>
      <c r="S12" s="19">
        <f>1111.8-J12</f>
        <v>698.59999999999991</v>
      </c>
      <c r="T12" s="19">
        <f>J12+L12</f>
        <v>1111.8</v>
      </c>
      <c r="U12" s="19">
        <v>1573.3</v>
      </c>
      <c r="W12" s="20">
        <f t="shared" si="0"/>
        <v>461.49999999999989</v>
      </c>
      <c r="X12" s="20">
        <f>W12-N12</f>
        <v>0</v>
      </c>
    </row>
    <row r="13" spans="1:24" ht="213" customHeight="1" x14ac:dyDescent="0.25">
      <c r="A13" s="36"/>
      <c r="B13" s="37" t="s">
        <v>400</v>
      </c>
      <c r="C13" s="12" t="s">
        <v>253</v>
      </c>
      <c r="D13" s="38" t="s">
        <v>343</v>
      </c>
      <c r="E13" s="43" t="s">
        <v>146</v>
      </c>
      <c r="F13" s="39" t="s">
        <v>399</v>
      </c>
      <c r="G13" s="39" t="s">
        <v>146</v>
      </c>
      <c r="H13" s="157" t="s">
        <v>399</v>
      </c>
      <c r="I13" s="43" t="s">
        <v>146</v>
      </c>
      <c r="J13" s="32" t="s">
        <v>146</v>
      </c>
      <c r="K13" s="43" t="s">
        <v>146</v>
      </c>
      <c r="L13" s="43" t="s">
        <v>146</v>
      </c>
      <c r="M13" s="43" t="s">
        <v>146</v>
      </c>
      <c r="N13" s="74" t="s">
        <v>146</v>
      </c>
      <c r="O13" s="43" t="s">
        <v>146</v>
      </c>
      <c r="P13" s="32" t="s">
        <v>146</v>
      </c>
      <c r="Q13" s="32" t="s">
        <v>146</v>
      </c>
      <c r="R13" s="20" t="e">
        <f t="shared" ref="R13:R89" si="1">I13+K13+M13+O13</f>
        <v>#VALUE!</v>
      </c>
      <c r="T13" s="19" t="e">
        <f t="shared" ref="T13:T90" si="2">J13+L13</f>
        <v>#VALUE!</v>
      </c>
      <c r="W13" s="20" t="e">
        <f t="shared" si="0"/>
        <v>#VALUE!</v>
      </c>
      <c r="X13" s="20" t="e">
        <f t="shared" ref="X13:X79" si="3">W13-N13</f>
        <v>#VALUE!</v>
      </c>
    </row>
    <row r="14" spans="1:24" ht="144" customHeight="1" x14ac:dyDescent="0.25">
      <c r="A14" s="36" t="s">
        <v>33</v>
      </c>
      <c r="B14" s="37" t="s">
        <v>89</v>
      </c>
      <c r="C14" s="12" t="s">
        <v>253</v>
      </c>
      <c r="D14" s="38" t="s">
        <v>343</v>
      </c>
      <c r="E14" s="39">
        <v>43474</v>
      </c>
      <c r="F14" s="39">
        <v>43830</v>
      </c>
      <c r="G14" s="39">
        <v>43474</v>
      </c>
      <c r="H14" s="40">
        <v>43830</v>
      </c>
      <c r="I14" s="18" t="s">
        <v>146</v>
      </c>
      <c r="J14" s="18" t="s">
        <v>146</v>
      </c>
      <c r="K14" s="18" t="s">
        <v>146</v>
      </c>
      <c r="L14" s="18" t="s">
        <v>146</v>
      </c>
      <c r="M14" s="18" t="s">
        <v>146</v>
      </c>
      <c r="N14" s="73" t="s">
        <v>146</v>
      </c>
      <c r="O14" s="18" t="s">
        <v>146</v>
      </c>
      <c r="P14" s="18" t="s">
        <v>146</v>
      </c>
      <c r="Q14" s="18" t="s">
        <v>146</v>
      </c>
      <c r="R14" s="20" t="e">
        <f t="shared" si="1"/>
        <v>#VALUE!</v>
      </c>
      <c r="T14" s="19" t="e">
        <f t="shared" si="2"/>
        <v>#VALUE!</v>
      </c>
      <c r="W14" s="20" t="e">
        <f t="shared" si="0"/>
        <v>#VALUE!</v>
      </c>
      <c r="X14" s="20" t="e">
        <f t="shared" si="3"/>
        <v>#VALUE!</v>
      </c>
    </row>
    <row r="15" spans="1:24" ht="154.5" customHeight="1" x14ac:dyDescent="0.25">
      <c r="A15" s="36" t="s">
        <v>34</v>
      </c>
      <c r="B15" s="37" t="s">
        <v>386</v>
      </c>
      <c r="C15" s="12" t="s">
        <v>253</v>
      </c>
      <c r="D15" s="38" t="s">
        <v>343</v>
      </c>
      <c r="E15" s="39">
        <v>43474</v>
      </c>
      <c r="F15" s="39">
        <v>43830</v>
      </c>
      <c r="G15" s="39">
        <v>43474</v>
      </c>
      <c r="H15" s="40">
        <v>43830</v>
      </c>
      <c r="I15" s="18" t="s">
        <v>146</v>
      </c>
      <c r="J15" s="18" t="s">
        <v>146</v>
      </c>
      <c r="K15" s="18" t="s">
        <v>146</v>
      </c>
      <c r="L15" s="18" t="s">
        <v>146</v>
      </c>
      <c r="M15" s="18" t="s">
        <v>146</v>
      </c>
      <c r="N15" s="73" t="s">
        <v>146</v>
      </c>
      <c r="O15" s="18" t="s">
        <v>146</v>
      </c>
      <c r="P15" s="18" t="s">
        <v>146</v>
      </c>
      <c r="Q15" s="18" t="s">
        <v>146</v>
      </c>
      <c r="R15" s="20" t="e">
        <f t="shared" si="1"/>
        <v>#VALUE!</v>
      </c>
      <c r="T15" s="19" t="e">
        <f t="shared" si="2"/>
        <v>#VALUE!</v>
      </c>
      <c r="W15" s="20" t="e">
        <f t="shared" si="0"/>
        <v>#VALUE!</v>
      </c>
      <c r="X15" s="20" t="e">
        <f t="shared" si="3"/>
        <v>#VALUE!</v>
      </c>
    </row>
    <row r="16" spans="1:24" s="134" customFormat="1" ht="195" customHeight="1" x14ac:dyDescent="0.25">
      <c r="A16" s="137"/>
      <c r="B16" s="139" t="s">
        <v>401</v>
      </c>
      <c r="C16" s="142" t="s">
        <v>253</v>
      </c>
      <c r="D16" s="144" t="s">
        <v>343</v>
      </c>
      <c r="E16" s="141" t="s">
        <v>146</v>
      </c>
      <c r="F16" s="141" t="s">
        <v>368</v>
      </c>
      <c r="G16" s="141" t="s">
        <v>146</v>
      </c>
      <c r="H16" s="157" t="s">
        <v>368</v>
      </c>
      <c r="I16" s="136" t="s">
        <v>146</v>
      </c>
      <c r="J16" s="136" t="s">
        <v>146</v>
      </c>
      <c r="K16" s="136" t="s">
        <v>146</v>
      </c>
      <c r="L16" s="136" t="s">
        <v>146</v>
      </c>
      <c r="M16" s="136" t="s">
        <v>146</v>
      </c>
      <c r="N16" s="136" t="s">
        <v>146</v>
      </c>
      <c r="O16" s="136" t="s">
        <v>146</v>
      </c>
      <c r="P16" s="136" t="s">
        <v>146</v>
      </c>
      <c r="Q16" s="136" t="s">
        <v>146</v>
      </c>
      <c r="R16" s="20"/>
      <c r="W16" s="20" t="e">
        <f t="shared" si="0"/>
        <v>#VALUE!</v>
      </c>
      <c r="X16" s="20" t="e">
        <f t="shared" si="3"/>
        <v>#VALUE!</v>
      </c>
    </row>
    <row r="17" spans="1:24" ht="141" customHeight="1" x14ac:dyDescent="0.25">
      <c r="A17" s="36" t="s">
        <v>35</v>
      </c>
      <c r="B17" s="37" t="s">
        <v>91</v>
      </c>
      <c r="C17" s="12" t="s">
        <v>253</v>
      </c>
      <c r="D17" s="38" t="s">
        <v>343</v>
      </c>
      <c r="E17" s="39">
        <v>43474</v>
      </c>
      <c r="F17" s="39">
        <v>43830</v>
      </c>
      <c r="G17" s="39">
        <v>43474</v>
      </c>
      <c r="H17" s="157">
        <v>43830</v>
      </c>
      <c r="I17" s="18" t="s">
        <v>146</v>
      </c>
      <c r="J17" s="18" t="s">
        <v>146</v>
      </c>
      <c r="K17" s="18" t="s">
        <v>146</v>
      </c>
      <c r="L17" s="18" t="s">
        <v>146</v>
      </c>
      <c r="M17" s="18" t="s">
        <v>146</v>
      </c>
      <c r="N17" s="73" t="s">
        <v>146</v>
      </c>
      <c r="O17" s="18" t="s">
        <v>146</v>
      </c>
      <c r="P17" s="18" t="s">
        <v>146</v>
      </c>
      <c r="Q17" s="18" t="s">
        <v>146</v>
      </c>
      <c r="R17" s="20" t="e">
        <f t="shared" si="1"/>
        <v>#VALUE!</v>
      </c>
      <c r="T17" s="19" t="e">
        <f t="shared" si="2"/>
        <v>#VALUE!</v>
      </c>
      <c r="W17" s="20" t="e">
        <f t="shared" si="0"/>
        <v>#VALUE!</v>
      </c>
      <c r="X17" s="20" t="e">
        <f t="shared" si="3"/>
        <v>#VALUE!</v>
      </c>
    </row>
    <row r="18" spans="1:24" ht="135" customHeight="1" x14ac:dyDescent="0.25">
      <c r="A18" s="38"/>
      <c r="B18" s="44" t="s">
        <v>402</v>
      </c>
      <c r="C18" s="12" t="s">
        <v>253</v>
      </c>
      <c r="D18" s="38" t="s">
        <v>343</v>
      </c>
      <c r="E18" s="39" t="s">
        <v>146</v>
      </c>
      <c r="F18" s="39" t="s">
        <v>431</v>
      </c>
      <c r="G18" s="12" t="s">
        <v>146</v>
      </c>
      <c r="H18" s="157" t="s">
        <v>431</v>
      </c>
      <c r="I18" s="18" t="s">
        <v>146</v>
      </c>
      <c r="J18" s="18" t="s">
        <v>146</v>
      </c>
      <c r="K18" s="18" t="s">
        <v>146</v>
      </c>
      <c r="L18" s="18" t="s">
        <v>146</v>
      </c>
      <c r="M18" s="18" t="s">
        <v>146</v>
      </c>
      <c r="N18" s="73" t="s">
        <v>146</v>
      </c>
      <c r="O18" s="18" t="s">
        <v>146</v>
      </c>
      <c r="P18" s="18" t="s">
        <v>146</v>
      </c>
      <c r="Q18" s="18" t="s">
        <v>146</v>
      </c>
      <c r="R18" s="20" t="e">
        <f t="shared" si="1"/>
        <v>#VALUE!</v>
      </c>
      <c r="T18" s="19" t="e">
        <f t="shared" si="2"/>
        <v>#VALUE!</v>
      </c>
      <c r="W18" s="20" t="e">
        <f t="shared" si="0"/>
        <v>#VALUE!</v>
      </c>
      <c r="X18" s="20" t="e">
        <f t="shared" si="3"/>
        <v>#VALUE!</v>
      </c>
    </row>
    <row r="19" spans="1:24" ht="144.75" customHeight="1" x14ac:dyDescent="0.25">
      <c r="A19" s="36" t="s">
        <v>38</v>
      </c>
      <c r="B19" s="37" t="s">
        <v>387</v>
      </c>
      <c r="C19" s="12" t="s">
        <v>253</v>
      </c>
      <c r="D19" s="38" t="s">
        <v>343</v>
      </c>
      <c r="E19" s="39">
        <v>43474</v>
      </c>
      <c r="F19" s="39">
        <v>43830</v>
      </c>
      <c r="G19" s="39">
        <v>43474</v>
      </c>
      <c r="H19" s="157">
        <v>43830</v>
      </c>
      <c r="I19" s="42">
        <v>55.4</v>
      </c>
      <c r="J19" s="79">
        <v>55.4</v>
      </c>
      <c r="K19" s="42">
        <v>447.6</v>
      </c>
      <c r="L19" s="32">
        <v>447.6</v>
      </c>
      <c r="M19" s="42">
        <v>238.9</v>
      </c>
      <c r="N19" s="222">
        <f>U19-L19-J19</f>
        <v>268</v>
      </c>
      <c r="O19" s="42">
        <v>539.1</v>
      </c>
      <c r="P19" s="42">
        <f>1251.9-J19-L19-N19</f>
        <v>480.9</v>
      </c>
      <c r="Q19" s="32" t="s">
        <v>146</v>
      </c>
      <c r="R19" s="20">
        <f t="shared" si="1"/>
        <v>1281</v>
      </c>
      <c r="S19" s="20">
        <f>503-J19</f>
        <v>447.6</v>
      </c>
      <c r="T19" s="19">
        <f t="shared" si="2"/>
        <v>503</v>
      </c>
      <c r="U19" s="19">
        <v>771</v>
      </c>
      <c r="W19" s="20">
        <f t="shared" si="0"/>
        <v>268</v>
      </c>
      <c r="X19" s="20">
        <f t="shared" si="3"/>
        <v>0</v>
      </c>
    </row>
    <row r="20" spans="1:24" ht="138.75" customHeight="1" x14ac:dyDescent="0.25">
      <c r="A20" s="36" t="s">
        <v>40</v>
      </c>
      <c r="B20" s="37" t="s">
        <v>41</v>
      </c>
      <c r="C20" s="12" t="s">
        <v>253</v>
      </c>
      <c r="D20" s="38" t="s">
        <v>343</v>
      </c>
      <c r="E20" s="39">
        <v>43474</v>
      </c>
      <c r="F20" s="39">
        <v>43830</v>
      </c>
      <c r="G20" s="39">
        <v>43474</v>
      </c>
      <c r="H20" s="157">
        <v>43830</v>
      </c>
      <c r="I20" s="32">
        <v>516.79999999999995</v>
      </c>
      <c r="J20" s="32">
        <v>516.79999999999995</v>
      </c>
      <c r="K20" s="32">
        <v>922.6</v>
      </c>
      <c r="L20" s="32">
        <v>922.6</v>
      </c>
      <c r="M20" s="79">
        <v>717</v>
      </c>
      <c r="N20" s="222">
        <f>U20-L20-J20</f>
        <v>793.00000000000023</v>
      </c>
      <c r="O20" s="79">
        <v>740</v>
      </c>
      <c r="P20" s="79">
        <f>2896.4-J20-L20-N20</f>
        <v>664.00000000000023</v>
      </c>
      <c r="Q20" s="32" t="s">
        <v>146</v>
      </c>
      <c r="R20" s="20">
        <f t="shared" si="1"/>
        <v>2896.4</v>
      </c>
      <c r="S20" s="19">
        <f>1439.4-J20</f>
        <v>922.60000000000014</v>
      </c>
      <c r="T20" s="19">
        <f t="shared" si="2"/>
        <v>1439.4</v>
      </c>
      <c r="U20" s="19">
        <v>2232.4</v>
      </c>
      <c r="W20" s="20">
        <f t="shared" si="0"/>
        <v>793.00000000000011</v>
      </c>
      <c r="X20" s="20">
        <f t="shared" si="3"/>
        <v>0</v>
      </c>
    </row>
    <row r="21" spans="1:24" ht="144" customHeight="1" x14ac:dyDescent="0.25">
      <c r="A21" s="38"/>
      <c r="B21" s="37" t="s">
        <v>403</v>
      </c>
      <c r="C21" s="12" t="s">
        <v>253</v>
      </c>
      <c r="D21" s="38" t="s">
        <v>343</v>
      </c>
      <c r="E21" s="39"/>
      <c r="F21" s="39" t="s">
        <v>405</v>
      </c>
      <c r="G21" s="18" t="s">
        <v>146</v>
      </c>
      <c r="H21" s="157" t="s">
        <v>434</v>
      </c>
      <c r="I21" s="18" t="s">
        <v>146</v>
      </c>
      <c r="J21" s="18" t="s">
        <v>146</v>
      </c>
      <c r="K21" s="18" t="s">
        <v>146</v>
      </c>
      <c r="L21" s="18" t="s">
        <v>146</v>
      </c>
      <c r="M21" s="18" t="s">
        <v>146</v>
      </c>
      <c r="N21" s="73" t="s">
        <v>146</v>
      </c>
      <c r="O21" s="18" t="s">
        <v>146</v>
      </c>
      <c r="P21" s="18" t="s">
        <v>146</v>
      </c>
      <c r="Q21" s="18" t="s">
        <v>146</v>
      </c>
      <c r="R21" s="20" t="e">
        <f t="shared" si="1"/>
        <v>#VALUE!</v>
      </c>
      <c r="T21" s="19" t="e">
        <f t="shared" si="2"/>
        <v>#VALUE!</v>
      </c>
      <c r="W21" s="20" t="e">
        <f t="shared" si="0"/>
        <v>#VALUE!</v>
      </c>
      <c r="X21" s="20" t="e">
        <f t="shared" si="3"/>
        <v>#VALUE!</v>
      </c>
    </row>
    <row r="22" spans="1:24" ht="150.75" customHeight="1" x14ac:dyDescent="0.25">
      <c r="A22" s="38"/>
      <c r="B22" s="37" t="s">
        <v>404</v>
      </c>
      <c r="C22" s="12" t="s">
        <v>253</v>
      </c>
      <c r="D22" s="38" t="s">
        <v>343</v>
      </c>
      <c r="E22" s="39" t="s">
        <v>146</v>
      </c>
      <c r="F22" s="39">
        <v>43525</v>
      </c>
      <c r="G22" s="18" t="s">
        <v>146</v>
      </c>
      <c r="H22" s="39">
        <v>43518</v>
      </c>
      <c r="I22" s="18" t="s">
        <v>146</v>
      </c>
      <c r="J22" s="18" t="s">
        <v>146</v>
      </c>
      <c r="K22" s="18" t="s">
        <v>146</v>
      </c>
      <c r="L22" s="18" t="s">
        <v>146</v>
      </c>
      <c r="M22" s="18" t="s">
        <v>146</v>
      </c>
      <c r="N22" s="73" t="s">
        <v>146</v>
      </c>
      <c r="O22" s="18" t="s">
        <v>146</v>
      </c>
      <c r="P22" s="18" t="s">
        <v>146</v>
      </c>
      <c r="Q22" s="18" t="s">
        <v>146</v>
      </c>
      <c r="R22" s="20" t="e">
        <f t="shared" si="1"/>
        <v>#VALUE!</v>
      </c>
      <c r="T22" s="19" t="e">
        <f t="shared" si="2"/>
        <v>#VALUE!</v>
      </c>
      <c r="W22" s="20" t="e">
        <f t="shared" si="0"/>
        <v>#VALUE!</v>
      </c>
      <c r="X22" s="20" t="e">
        <f t="shared" si="3"/>
        <v>#VALUE!</v>
      </c>
    </row>
    <row r="23" spans="1:24" ht="178.5" customHeight="1" x14ac:dyDescent="0.25">
      <c r="A23" s="38"/>
      <c r="B23" s="37" t="s">
        <v>406</v>
      </c>
      <c r="C23" s="12" t="s">
        <v>253</v>
      </c>
      <c r="D23" s="38" t="s">
        <v>343</v>
      </c>
      <c r="E23" s="39" t="s">
        <v>146</v>
      </c>
      <c r="F23" s="39">
        <v>43553</v>
      </c>
      <c r="G23" s="18" t="s">
        <v>146</v>
      </c>
      <c r="H23" s="39">
        <v>43546</v>
      </c>
      <c r="I23" s="18" t="s">
        <v>146</v>
      </c>
      <c r="J23" s="18" t="s">
        <v>146</v>
      </c>
      <c r="K23" s="18" t="s">
        <v>146</v>
      </c>
      <c r="L23" s="18" t="s">
        <v>146</v>
      </c>
      <c r="M23" s="18" t="s">
        <v>146</v>
      </c>
      <c r="N23" s="73" t="s">
        <v>146</v>
      </c>
      <c r="O23" s="18" t="s">
        <v>146</v>
      </c>
      <c r="P23" s="18" t="s">
        <v>146</v>
      </c>
      <c r="Q23" s="18" t="s">
        <v>146</v>
      </c>
      <c r="R23" s="20" t="e">
        <f t="shared" si="1"/>
        <v>#VALUE!</v>
      </c>
      <c r="T23" s="19" t="e">
        <f t="shared" si="2"/>
        <v>#VALUE!</v>
      </c>
      <c r="W23" s="20" t="e">
        <f t="shared" si="0"/>
        <v>#VALUE!</v>
      </c>
      <c r="X23" s="20" t="e">
        <f t="shared" si="3"/>
        <v>#VALUE!</v>
      </c>
    </row>
    <row r="24" spans="1:24" ht="146.25" customHeight="1" x14ac:dyDescent="0.25">
      <c r="A24" s="38"/>
      <c r="B24" s="37" t="s">
        <v>407</v>
      </c>
      <c r="C24" s="72" t="s">
        <v>253</v>
      </c>
      <c r="D24" s="38" t="s">
        <v>343</v>
      </c>
      <c r="E24" s="39" t="s">
        <v>146</v>
      </c>
      <c r="F24" s="39" t="s">
        <v>432</v>
      </c>
      <c r="G24" s="77" t="s">
        <v>146</v>
      </c>
      <c r="H24" s="39" t="s">
        <v>435</v>
      </c>
      <c r="I24" s="77" t="s">
        <v>146</v>
      </c>
      <c r="J24" s="77" t="s">
        <v>146</v>
      </c>
      <c r="K24" s="77" t="s">
        <v>146</v>
      </c>
      <c r="L24" s="77" t="s">
        <v>146</v>
      </c>
      <c r="M24" s="77" t="s">
        <v>146</v>
      </c>
      <c r="N24" s="77" t="s">
        <v>146</v>
      </c>
      <c r="O24" s="77" t="s">
        <v>146</v>
      </c>
      <c r="P24" s="77" t="s">
        <v>146</v>
      </c>
      <c r="Q24" s="77" t="s">
        <v>146</v>
      </c>
      <c r="R24" s="20" t="e">
        <f t="shared" si="1"/>
        <v>#VALUE!</v>
      </c>
      <c r="T24" s="19" t="e">
        <f t="shared" si="2"/>
        <v>#VALUE!</v>
      </c>
      <c r="W24" s="20" t="e">
        <f t="shared" si="0"/>
        <v>#VALUE!</v>
      </c>
      <c r="X24" s="20" t="e">
        <f t="shared" si="3"/>
        <v>#VALUE!</v>
      </c>
    </row>
    <row r="25" spans="1:24" ht="141" customHeight="1" x14ac:dyDescent="0.25">
      <c r="A25" s="38"/>
      <c r="B25" s="37" t="s">
        <v>408</v>
      </c>
      <c r="C25" s="72" t="s">
        <v>253</v>
      </c>
      <c r="D25" s="38" t="s">
        <v>343</v>
      </c>
      <c r="E25" s="39" t="s">
        <v>146</v>
      </c>
      <c r="F25" s="39">
        <v>43630</v>
      </c>
      <c r="G25" s="77" t="s">
        <v>146</v>
      </c>
      <c r="H25" s="39">
        <v>43623</v>
      </c>
      <c r="I25" s="77" t="s">
        <v>146</v>
      </c>
      <c r="J25" s="77" t="s">
        <v>146</v>
      </c>
      <c r="K25" s="77" t="s">
        <v>146</v>
      </c>
      <c r="L25" s="77" t="s">
        <v>146</v>
      </c>
      <c r="M25" s="77" t="s">
        <v>146</v>
      </c>
      <c r="N25" s="77" t="s">
        <v>146</v>
      </c>
      <c r="O25" s="77" t="s">
        <v>146</v>
      </c>
      <c r="P25" s="77" t="s">
        <v>146</v>
      </c>
      <c r="Q25" s="77" t="s">
        <v>146</v>
      </c>
      <c r="R25" s="20" t="e">
        <f t="shared" si="1"/>
        <v>#VALUE!</v>
      </c>
      <c r="T25" s="19" t="e">
        <f t="shared" si="2"/>
        <v>#VALUE!</v>
      </c>
      <c r="W25" s="20" t="e">
        <f t="shared" si="0"/>
        <v>#VALUE!</v>
      </c>
      <c r="X25" s="20" t="e">
        <f t="shared" si="3"/>
        <v>#VALUE!</v>
      </c>
    </row>
    <row r="26" spans="1:24" s="152" customFormat="1" ht="141" customHeight="1" x14ac:dyDescent="0.25">
      <c r="A26" s="147"/>
      <c r="B26" s="156" t="s">
        <v>461</v>
      </c>
      <c r="C26" s="220"/>
      <c r="D26" s="147" t="s">
        <v>343</v>
      </c>
      <c r="E26" s="157" t="s">
        <v>146</v>
      </c>
      <c r="F26" s="157">
        <v>43798</v>
      </c>
      <c r="G26" s="153" t="s">
        <v>146</v>
      </c>
      <c r="H26" s="40">
        <v>43797</v>
      </c>
      <c r="I26" s="153"/>
      <c r="J26" s="153" t="s">
        <v>146</v>
      </c>
      <c r="K26" s="153" t="s">
        <v>146</v>
      </c>
      <c r="L26" s="153" t="s">
        <v>146</v>
      </c>
      <c r="M26" s="153" t="s">
        <v>146</v>
      </c>
      <c r="N26" s="153" t="s">
        <v>146</v>
      </c>
      <c r="O26" s="153" t="s">
        <v>146</v>
      </c>
      <c r="P26" s="153" t="s">
        <v>146</v>
      </c>
      <c r="Q26" s="153" t="s">
        <v>146</v>
      </c>
      <c r="R26" s="20"/>
      <c r="W26" s="20"/>
      <c r="X26" s="20"/>
    </row>
    <row r="27" spans="1:24" s="152" customFormat="1" ht="141" customHeight="1" x14ac:dyDescent="0.25">
      <c r="A27" s="147"/>
      <c r="B27" s="156" t="s">
        <v>462</v>
      </c>
      <c r="C27" s="220"/>
      <c r="D27" s="147" t="s">
        <v>343</v>
      </c>
      <c r="E27" s="157" t="s">
        <v>146</v>
      </c>
      <c r="F27" s="157">
        <v>43819</v>
      </c>
      <c r="G27" s="153" t="s">
        <v>146</v>
      </c>
      <c r="H27" s="40">
        <v>43811</v>
      </c>
      <c r="I27" s="153" t="s">
        <v>146</v>
      </c>
      <c r="J27" s="153" t="s">
        <v>146</v>
      </c>
      <c r="K27" s="153" t="s">
        <v>146</v>
      </c>
      <c r="L27" s="153" t="s">
        <v>146</v>
      </c>
      <c r="M27" s="153" t="s">
        <v>146</v>
      </c>
      <c r="N27" s="153" t="s">
        <v>146</v>
      </c>
      <c r="O27" s="153" t="s">
        <v>146</v>
      </c>
      <c r="P27" s="153" t="s">
        <v>146</v>
      </c>
      <c r="Q27" s="153" t="s">
        <v>146</v>
      </c>
      <c r="R27" s="20"/>
      <c r="W27" s="20"/>
      <c r="X27" s="20"/>
    </row>
    <row r="28" spans="1:24" ht="138.75" customHeight="1" x14ac:dyDescent="0.25">
      <c r="A28" s="36" t="s">
        <v>42</v>
      </c>
      <c r="B28" s="37" t="s">
        <v>43</v>
      </c>
      <c r="C28" s="12" t="s">
        <v>253</v>
      </c>
      <c r="D28" s="38" t="s">
        <v>344</v>
      </c>
      <c r="E28" s="39">
        <v>43474</v>
      </c>
      <c r="F28" s="39">
        <v>43830</v>
      </c>
      <c r="G28" s="39">
        <v>43474</v>
      </c>
      <c r="H28" s="40">
        <v>43830</v>
      </c>
      <c r="I28" s="42">
        <v>562.70000000000005</v>
      </c>
      <c r="J28" s="32">
        <v>562.70000000000005</v>
      </c>
      <c r="K28" s="32">
        <v>2976.1</v>
      </c>
      <c r="L28" s="32">
        <v>2927.7</v>
      </c>
      <c r="M28" s="32">
        <v>2989.4</v>
      </c>
      <c r="N28" s="75">
        <f>U28-L28-J28</f>
        <v>3116.4000000000005</v>
      </c>
      <c r="O28" s="32">
        <v>1404.5</v>
      </c>
      <c r="P28" s="32">
        <f>7929.5-J28-L28-N28</f>
        <v>1322.6999999999998</v>
      </c>
      <c r="Q28" s="32" t="s">
        <v>146</v>
      </c>
      <c r="R28" s="20">
        <f t="shared" si="1"/>
        <v>7932.7000000000007</v>
      </c>
      <c r="S28" s="19">
        <f>3490.4-J28</f>
        <v>2927.7</v>
      </c>
      <c r="T28" s="19">
        <f t="shared" si="2"/>
        <v>3490.3999999999996</v>
      </c>
      <c r="U28" s="19">
        <v>6606.8</v>
      </c>
      <c r="W28" s="20">
        <f t="shared" si="0"/>
        <v>3116.4000000000005</v>
      </c>
      <c r="X28" s="20">
        <f t="shared" si="3"/>
        <v>0</v>
      </c>
    </row>
    <row r="29" spans="1:24" ht="168" customHeight="1" x14ac:dyDescent="0.25">
      <c r="A29" s="38"/>
      <c r="B29" s="37" t="s">
        <v>409</v>
      </c>
      <c r="C29" s="72" t="s">
        <v>253</v>
      </c>
      <c r="D29" s="38" t="s">
        <v>344</v>
      </c>
      <c r="E29" s="39" t="s">
        <v>146</v>
      </c>
      <c r="F29" s="39">
        <v>43593</v>
      </c>
      <c r="G29" s="77" t="s">
        <v>146</v>
      </c>
      <c r="H29" s="39">
        <v>43593</v>
      </c>
      <c r="I29" s="77" t="s">
        <v>146</v>
      </c>
      <c r="J29" s="77" t="s">
        <v>146</v>
      </c>
      <c r="K29" s="77" t="s">
        <v>146</v>
      </c>
      <c r="L29" s="77" t="s">
        <v>146</v>
      </c>
      <c r="M29" s="77" t="s">
        <v>146</v>
      </c>
      <c r="N29" s="77" t="s">
        <v>146</v>
      </c>
      <c r="O29" s="77" t="s">
        <v>146</v>
      </c>
      <c r="P29" s="77" t="s">
        <v>146</v>
      </c>
      <c r="Q29" s="77" t="s">
        <v>146</v>
      </c>
      <c r="R29" s="20" t="e">
        <f t="shared" si="1"/>
        <v>#VALUE!</v>
      </c>
      <c r="T29" s="19" t="e">
        <f t="shared" si="2"/>
        <v>#VALUE!</v>
      </c>
      <c r="W29" s="20" t="e">
        <f t="shared" si="0"/>
        <v>#VALUE!</v>
      </c>
      <c r="X29" s="20" t="e">
        <f t="shared" si="3"/>
        <v>#VALUE!</v>
      </c>
    </row>
    <row r="30" spans="1:24" ht="158.25" customHeight="1" x14ac:dyDescent="0.25">
      <c r="A30" s="38"/>
      <c r="B30" s="37" t="s">
        <v>410</v>
      </c>
      <c r="C30" s="72" t="s">
        <v>253</v>
      </c>
      <c r="D30" s="38" t="s">
        <v>344</v>
      </c>
      <c r="E30" s="39" t="s">
        <v>146</v>
      </c>
      <c r="F30" s="39">
        <v>43599</v>
      </c>
      <c r="G30" s="77" t="s">
        <v>146</v>
      </c>
      <c r="H30" s="39">
        <v>43599</v>
      </c>
      <c r="I30" s="77" t="s">
        <v>146</v>
      </c>
      <c r="J30" s="77" t="s">
        <v>146</v>
      </c>
      <c r="K30" s="77" t="s">
        <v>146</v>
      </c>
      <c r="L30" s="77" t="s">
        <v>146</v>
      </c>
      <c r="M30" s="77" t="s">
        <v>146</v>
      </c>
      <c r="N30" s="77" t="s">
        <v>146</v>
      </c>
      <c r="O30" s="77" t="s">
        <v>146</v>
      </c>
      <c r="P30" s="77" t="s">
        <v>146</v>
      </c>
      <c r="Q30" s="77" t="s">
        <v>146</v>
      </c>
      <c r="R30" s="20" t="e">
        <f t="shared" si="1"/>
        <v>#VALUE!</v>
      </c>
      <c r="T30" s="19" t="e">
        <f t="shared" si="2"/>
        <v>#VALUE!</v>
      </c>
      <c r="W30" s="20" t="e">
        <f t="shared" si="0"/>
        <v>#VALUE!</v>
      </c>
      <c r="X30" s="20" t="e">
        <f t="shared" si="3"/>
        <v>#VALUE!</v>
      </c>
    </row>
    <row r="31" spans="1:24" ht="226.5" customHeight="1" x14ac:dyDescent="0.25">
      <c r="A31" s="36" t="s">
        <v>44</v>
      </c>
      <c r="B31" s="37" t="s">
        <v>45</v>
      </c>
      <c r="C31" s="12" t="s">
        <v>253</v>
      </c>
      <c r="D31" s="38" t="s">
        <v>344</v>
      </c>
      <c r="E31" s="39">
        <v>43474</v>
      </c>
      <c r="F31" s="39">
        <v>43830</v>
      </c>
      <c r="G31" s="39">
        <v>43474</v>
      </c>
      <c r="H31" s="40">
        <v>43830</v>
      </c>
      <c r="I31" s="79">
        <v>442</v>
      </c>
      <c r="J31" s="42">
        <v>442</v>
      </c>
      <c r="K31" s="32">
        <v>7008.2</v>
      </c>
      <c r="L31" s="32">
        <v>6908.9</v>
      </c>
      <c r="M31" s="32">
        <v>17315.400000000001</v>
      </c>
      <c r="N31" s="75">
        <f>U31-L31-J31</f>
        <v>17646.800000000003</v>
      </c>
      <c r="O31" s="32">
        <v>2736.4</v>
      </c>
      <c r="P31" s="79">
        <f>27429.9-J31-L31-N31</f>
        <v>2432.1999999999971</v>
      </c>
      <c r="Q31" s="32" t="s">
        <v>146</v>
      </c>
      <c r="R31" s="20">
        <f t="shared" si="1"/>
        <v>27502.000000000004</v>
      </c>
      <c r="S31" s="20">
        <f>7350.9-J31</f>
        <v>6908.9</v>
      </c>
      <c r="T31" s="19">
        <f t="shared" si="2"/>
        <v>7350.9</v>
      </c>
      <c r="U31" s="19">
        <v>24997.7</v>
      </c>
      <c r="W31" s="20">
        <f t="shared" si="0"/>
        <v>17646.800000000003</v>
      </c>
      <c r="X31" s="20">
        <f t="shared" si="3"/>
        <v>0</v>
      </c>
    </row>
    <row r="32" spans="1:24" ht="163.5" customHeight="1" x14ac:dyDescent="0.25">
      <c r="A32" s="38"/>
      <c r="B32" s="37" t="s">
        <v>411</v>
      </c>
      <c r="C32" s="72" t="s">
        <v>253</v>
      </c>
      <c r="D32" s="38" t="s">
        <v>344</v>
      </c>
      <c r="E32" s="39"/>
      <c r="F32" s="39">
        <v>43593</v>
      </c>
      <c r="G32" s="77" t="s">
        <v>146</v>
      </c>
      <c r="H32" s="39">
        <v>43593</v>
      </c>
      <c r="I32" s="77" t="s">
        <v>146</v>
      </c>
      <c r="J32" s="77" t="s">
        <v>146</v>
      </c>
      <c r="K32" s="77" t="s">
        <v>146</v>
      </c>
      <c r="L32" s="77" t="s">
        <v>146</v>
      </c>
      <c r="M32" s="77" t="s">
        <v>146</v>
      </c>
      <c r="N32" s="77" t="s">
        <v>146</v>
      </c>
      <c r="O32" s="77" t="s">
        <v>146</v>
      </c>
      <c r="P32" s="77" t="s">
        <v>146</v>
      </c>
      <c r="Q32" s="77" t="s">
        <v>146</v>
      </c>
      <c r="R32" s="20" t="e">
        <f t="shared" si="1"/>
        <v>#VALUE!</v>
      </c>
      <c r="T32" s="19" t="e">
        <f t="shared" si="2"/>
        <v>#VALUE!</v>
      </c>
      <c r="W32" s="20" t="e">
        <f t="shared" si="0"/>
        <v>#VALUE!</v>
      </c>
      <c r="X32" s="20" t="e">
        <f t="shared" si="3"/>
        <v>#VALUE!</v>
      </c>
    </row>
    <row r="33" spans="1:24" ht="178.5" customHeight="1" x14ac:dyDescent="0.25">
      <c r="A33" s="38"/>
      <c r="B33" s="37" t="s">
        <v>436</v>
      </c>
      <c r="C33" s="72" t="s">
        <v>253</v>
      </c>
      <c r="D33" s="38" t="s">
        <v>344</v>
      </c>
      <c r="E33" s="39" t="s">
        <v>146</v>
      </c>
      <c r="F33" s="39">
        <v>43599</v>
      </c>
      <c r="G33" s="77" t="s">
        <v>146</v>
      </c>
      <c r="H33" s="39">
        <v>43599</v>
      </c>
      <c r="I33" s="77" t="s">
        <v>146</v>
      </c>
      <c r="J33" s="77" t="s">
        <v>146</v>
      </c>
      <c r="K33" s="77" t="s">
        <v>146</v>
      </c>
      <c r="L33" s="77" t="s">
        <v>146</v>
      </c>
      <c r="M33" s="77" t="s">
        <v>146</v>
      </c>
      <c r="N33" s="77" t="s">
        <v>146</v>
      </c>
      <c r="O33" s="77" t="s">
        <v>146</v>
      </c>
      <c r="P33" s="77" t="s">
        <v>146</v>
      </c>
      <c r="Q33" s="77" t="s">
        <v>146</v>
      </c>
      <c r="R33" s="20" t="e">
        <f t="shared" si="1"/>
        <v>#VALUE!</v>
      </c>
      <c r="T33" s="19" t="e">
        <f t="shared" si="2"/>
        <v>#VALUE!</v>
      </c>
      <c r="W33" s="20" t="e">
        <f t="shared" si="0"/>
        <v>#VALUE!</v>
      </c>
      <c r="X33" s="20" t="e">
        <f t="shared" si="3"/>
        <v>#VALUE!</v>
      </c>
    </row>
    <row r="34" spans="1:24" ht="402.75" customHeight="1" x14ac:dyDescent="0.25">
      <c r="A34" s="36" t="s">
        <v>254</v>
      </c>
      <c r="B34" s="37" t="s">
        <v>388</v>
      </c>
      <c r="C34" s="12" t="s">
        <v>253</v>
      </c>
      <c r="D34" s="38" t="s">
        <v>344</v>
      </c>
      <c r="E34" s="39">
        <v>43474</v>
      </c>
      <c r="F34" s="39">
        <v>43830</v>
      </c>
      <c r="G34" s="39">
        <v>43474</v>
      </c>
      <c r="H34" s="40">
        <v>43830</v>
      </c>
      <c r="I34" s="32">
        <v>769.6</v>
      </c>
      <c r="J34" s="32">
        <v>769.6</v>
      </c>
      <c r="K34" s="32">
        <v>17103.2</v>
      </c>
      <c r="L34" s="79">
        <v>16910.400000000001</v>
      </c>
      <c r="M34" s="32">
        <v>15754.4</v>
      </c>
      <c r="N34" s="75">
        <f>U34-L34-J34</f>
        <v>16716.800000000003</v>
      </c>
      <c r="O34" s="32">
        <v>18934.3</v>
      </c>
      <c r="P34" s="79">
        <f>52560-J34-L34-N34</f>
        <v>18163.199999999997</v>
      </c>
      <c r="Q34" s="32" t="s">
        <v>146</v>
      </c>
      <c r="R34" s="20">
        <f t="shared" si="1"/>
        <v>52561.5</v>
      </c>
      <c r="S34" s="19" t="s">
        <v>365</v>
      </c>
      <c r="T34" s="19">
        <f t="shared" si="2"/>
        <v>17680</v>
      </c>
      <c r="U34" s="19">
        <v>34396.800000000003</v>
      </c>
      <c r="W34" s="20">
        <f t="shared" si="0"/>
        <v>16716.800000000003</v>
      </c>
      <c r="X34" s="20">
        <f t="shared" si="3"/>
        <v>0</v>
      </c>
    </row>
    <row r="35" spans="1:24" ht="175.5" customHeight="1" x14ac:dyDescent="0.25">
      <c r="A35" s="38"/>
      <c r="B35" s="37" t="s">
        <v>412</v>
      </c>
      <c r="C35" s="72" t="s">
        <v>253</v>
      </c>
      <c r="D35" s="38" t="s">
        <v>344</v>
      </c>
      <c r="E35" s="39"/>
      <c r="F35" s="39">
        <v>43599</v>
      </c>
      <c r="G35" s="77" t="s">
        <v>146</v>
      </c>
      <c r="H35" s="39">
        <v>43599</v>
      </c>
      <c r="I35" s="77" t="s">
        <v>146</v>
      </c>
      <c r="J35" s="77" t="s">
        <v>146</v>
      </c>
      <c r="K35" s="77" t="s">
        <v>146</v>
      </c>
      <c r="L35" s="77" t="s">
        <v>146</v>
      </c>
      <c r="M35" s="77" t="s">
        <v>146</v>
      </c>
      <c r="N35" s="77" t="s">
        <v>146</v>
      </c>
      <c r="O35" s="77" t="s">
        <v>146</v>
      </c>
      <c r="P35" s="77" t="s">
        <v>146</v>
      </c>
      <c r="Q35" s="77" t="s">
        <v>146</v>
      </c>
      <c r="R35" s="20" t="e">
        <f t="shared" si="1"/>
        <v>#VALUE!</v>
      </c>
      <c r="T35" s="19" t="e">
        <f t="shared" si="2"/>
        <v>#VALUE!</v>
      </c>
      <c r="W35" s="20" t="e">
        <f t="shared" si="0"/>
        <v>#VALUE!</v>
      </c>
      <c r="X35" s="20" t="e">
        <f t="shared" si="3"/>
        <v>#VALUE!</v>
      </c>
    </row>
    <row r="36" spans="1:24" ht="134.25" customHeight="1" x14ac:dyDescent="0.25">
      <c r="A36" s="154" t="s">
        <v>92</v>
      </c>
      <c r="B36" s="156" t="s">
        <v>433</v>
      </c>
      <c r="C36" s="158" t="s">
        <v>253</v>
      </c>
      <c r="D36" s="147" t="s">
        <v>345</v>
      </c>
      <c r="E36" s="39">
        <v>43474</v>
      </c>
      <c r="F36" s="39">
        <v>43830</v>
      </c>
      <c r="G36" s="39">
        <v>43474</v>
      </c>
      <c r="H36" s="40">
        <v>43830</v>
      </c>
      <c r="I36" s="18" t="s">
        <v>146</v>
      </c>
      <c r="J36" s="18" t="s">
        <v>146</v>
      </c>
      <c r="K36" s="18" t="s">
        <v>146</v>
      </c>
      <c r="L36" s="18" t="s">
        <v>146</v>
      </c>
      <c r="M36" s="18" t="s">
        <v>146</v>
      </c>
      <c r="N36" s="73" t="s">
        <v>146</v>
      </c>
      <c r="O36" s="18" t="s">
        <v>146</v>
      </c>
      <c r="P36" s="18" t="s">
        <v>146</v>
      </c>
      <c r="Q36" s="18" t="s">
        <v>146</v>
      </c>
      <c r="R36" s="20" t="e">
        <f t="shared" si="1"/>
        <v>#VALUE!</v>
      </c>
      <c r="T36" s="19" t="e">
        <f t="shared" si="2"/>
        <v>#VALUE!</v>
      </c>
      <c r="W36" s="20" t="e">
        <f t="shared" si="0"/>
        <v>#VALUE!</v>
      </c>
      <c r="X36" s="20" t="e">
        <f t="shared" si="3"/>
        <v>#VALUE!</v>
      </c>
    </row>
    <row r="37" spans="1:24" ht="141" customHeight="1" x14ac:dyDescent="0.25">
      <c r="A37" s="36" t="s">
        <v>281</v>
      </c>
      <c r="B37" s="37" t="s">
        <v>297</v>
      </c>
      <c r="C37" s="72" t="s">
        <v>253</v>
      </c>
      <c r="D37" s="38" t="s">
        <v>343</v>
      </c>
      <c r="E37" s="39">
        <v>43474</v>
      </c>
      <c r="F37" s="39">
        <v>43830</v>
      </c>
      <c r="G37" s="39">
        <v>43474</v>
      </c>
      <c r="H37" s="40">
        <v>43830</v>
      </c>
      <c r="I37" s="78">
        <v>0</v>
      </c>
      <c r="J37" s="78">
        <v>0</v>
      </c>
      <c r="K37" s="78">
        <v>0</v>
      </c>
      <c r="L37" s="78">
        <v>0</v>
      </c>
      <c r="M37" s="78">
        <v>604</v>
      </c>
      <c r="N37" s="75">
        <f>U37-L37-J37</f>
        <v>1016.4</v>
      </c>
      <c r="O37" s="78">
        <v>38869.699999999997</v>
      </c>
      <c r="P37" s="78">
        <f>37963-N37</f>
        <v>36946.6</v>
      </c>
      <c r="Q37" s="78" t="s">
        <v>146</v>
      </c>
      <c r="R37" s="20">
        <f t="shared" si="1"/>
        <v>39473.699999999997</v>
      </c>
      <c r="T37" s="19">
        <f t="shared" si="2"/>
        <v>0</v>
      </c>
      <c r="U37" s="19">
        <f>U38+U39</f>
        <v>1016.4</v>
      </c>
      <c r="W37" s="20">
        <f t="shared" si="0"/>
        <v>1016.4</v>
      </c>
      <c r="X37" s="20">
        <f t="shared" si="3"/>
        <v>0</v>
      </c>
    </row>
    <row r="38" spans="1:24" x14ac:dyDescent="0.25">
      <c r="A38" s="36"/>
      <c r="B38" s="37" t="s">
        <v>260</v>
      </c>
      <c r="C38" s="72"/>
      <c r="D38" s="38"/>
      <c r="E38" s="39"/>
      <c r="F38" s="39"/>
      <c r="G38" s="39"/>
      <c r="H38" s="40"/>
      <c r="I38" s="78">
        <v>0</v>
      </c>
      <c r="J38" s="78">
        <v>0</v>
      </c>
      <c r="K38" s="78">
        <v>0</v>
      </c>
      <c r="L38" s="78">
        <v>0</v>
      </c>
      <c r="M38" s="78">
        <v>145</v>
      </c>
      <c r="N38" s="75">
        <f>U38-L38-J38</f>
        <v>53.5</v>
      </c>
      <c r="O38" s="78">
        <v>1828.7</v>
      </c>
      <c r="P38" s="78">
        <f>1898.1-N38</f>
        <v>1844.6</v>
      </c>
      <c r="Q38" s="78"/>
      <c r="R38" s="20">
        <f t="shared" si="1"/>
        <v>1973.7</v>
      </c>
      <c r="T38" s="19">
        <f t="shared" si="2"/>
        <v>0</v>
      </c>
      <c r="U38" s="19">
        <v>53.5</v>
      </c>
      <c r="W38" s="20">
        <f t="shared" si="0"/>
        <v>53.5</v>
      </c>
      <c r="X38" s="20">
        <f t="shared" si="3"/>
        <v>0</v>
      </c>
    </row>
    <row r="39" spans="1:24" x14ac:dyDescent="0.25">
      <c r="A39" s="36"/>
      <c r="B39" s="37" t="s">
        <v>256</v>
      </c>
      <c r="C39" s="72"/>
      <c r="D39" s="38"/>
      <c r="E39" s="39"/>
      <c r="F39" s="39"/>
      <c r="G39" s="39"/>
      <c r="H39" s="40"/>
      <c r="I39" s="78">
        <v>0</v>
      </c>
      <c r="J39" s="78">
        <v>0</v>
      </c>
      <c r="K39" s="78">
        <v>0</v>
      </c>
      <c r="L39" s="78">
        <v>0</v>
      </c>
      <c r="M39" s="78">
        <v>459</v>
      </c>
      <c r="N39" s="75">
        <f>U39-L39-J39</f>
        <v>962.9</v>
      </c>
      <c r="O39" s="79">
        <v>37041</v>
      </c>
      <c r="P39" s="79">
        <f>36064.9-N39</f>
        <v>35102</v>
      </c>
      <c r="Q39" s="78"/>
      <c r="R39" s="20">
        <f t="shared" si="1"/>
        <v>37500</v>
      </c>
      <c r="T39" s="19">
        <f t="shared" si="2"/>
        <v>0</v>
      </c>
      <c r="U39" s="19">
        <v>962.9</v>
      </c>
      <c r="W39" s="20">
        <f t="shared" si="0"/>
        <v>962.9</v>
      </c>
      <c r="X39" s="20">
        <f t="shared" si="3"/>
        <v>0</v>
      </c>
    </row>
    <row r="40" spans="1:24" ht="147" customHeight="1" x14ac:dyDescent="0.25">
      <c r="A40" s="36" t="s">
        <v>50</v>
      </c>
      <c r="B40" s="37" t="s">
        <v>51</v>
      </c>
      <c r="C40" s="72" t="s">
        <v>253</v>
      </c>
      <c r="D40" s="38" t="s">
        <v>343</v>
      </c>
      <c r="E40" s="39">
        <v>43474</v>
      </c>
      <c r="F40" s="39">
        <v>43830</v>
      </c>
      <c r="G40" s="39">
        <v>43474</v>
      </c>
      <c r="H40" s="40">
        <v>43830</v>
      </c>
      <c r="I40" s="77">
        <v>207.6</v>
      </c>
      <c r="J40" s="72">
        <v>207.6</v>
      </c>
      <c r="K40" s="72">
        <v>641.20000000000005</v>
      </c>
      <c r="L40" s="72">
        <v>641.20000000000005</v>
      </c>
      <c r="M40" s="77">
        <v>345.6</v>
      </c>
      <c r="N40" s="75">
        <f>U40-L40-J40</f>
        <v>361.19999999999993</v>
      </c>
      <c r="O40" s="72">
        <v>470.6</v>
      </c>
      <c r="P40" s="72">
        <f>1662.2-J40-L40-N40</f>
        <v>452.20000000000016</v>
      </c>
      <c r="Q40" s="72" t="s">
        <v>146</v>
      </c>
      <c r="R40" s="20">
        <f>I40+K40+M40+O40</f>
        <v>1665</v>
      </c>
      <c r="S40" s="19">
        <f>848.8-J40</f>
        <v>641.19999999999993</v>
      </c>
      <c r="T40" s="19">
        <f>J40+L40</f>
        <v>848.80000000000007</v>
      </c>
      <c r="U40" s="19">
        <v>1210</v>
      </c>
      <c r="W40" s="20">
        <f>U40-J40-L40</f>
        <v>361.19999999999993</v>
      </c>
      <c r="X40" s="20">
        <f t="shared" si="3"/>
        <v>0</v>
      </c>
    </row>
    <row r="41" spans="1:24" ht="147" customHeight="1" x14ac:dyDescent="0.25">
      <c r="A41" s="38"/>
      <c r="B41" s="37" t="s">
        <v>413</v>
      </c>
      <c r="C41" s="72" t="s">
        <v>253</v>
      </c>
      <c r="D41" s="38" t="s">
        <v>343</v>
      </c>
      <c r="E41" s="39" t="s">
        <v>146</v>
      </c>
      <c r="F41" s="39">
        <v>43585</v>
      </c>
      <c r="G41" s="77" t="s">
        <v>146</v>
      </c>
      <c r="H41" s="39">
        <v>43572</v>
      </c>
      <c r="I41" s="77" t="s">
        <v>146</v>
      </c>
      <c r="J41" s="77" t="s">
        <v>146</v>
      </c>
      <c r="K41" s="77" t="s">
        <v>146</v>
      </c>
      <c r="L41" s="77" t="s">
        <v>146</v>
      </c>
      <c r="M41" s="77" t="s">
        <v>146</v>
      </c>
      <c r="N41" s="77" t="s">
        <v>146</v>
      </c>
      <c r="O41" s="77" t="s">
        <v>146</v>
      </c>
      <c r="P41" s="77" t="s">
        <v>146</v>
      </c>
      <c r="Q41" s="77" t="s">
        <v>146</v>
      </c>
      <c r="R41" s="20" t="e">
        <f t="shared" si="1"/>
        <v>#VALUE!</v>
      </c>
      <c r="T41" s="19" t="e">
        <f t="shared" si="2"/>
        <v>#VALUE!</v>
      </c>
      <c r="W41" s="20" t="e">
        <f t="shared" ref="W41:W105" si="4">U41-J41-L41</f>
        <v>#VALUE!</v>
      </c>
      <c r="X41" s="20" t="e">
        <f t="shared" si="3"/>
        <v>#VALUE!</v>
      </c>
    </row>
    <row r="42" spans="1:24" s="138" customFormat="1" ht="148.5" customHeight="1" x14ac:dyDescent="0.25">
      <c r="A42" s="140"/>
      <c r="B42" s="146" t="s">
        <v>414</v>
      </c>
      <c r="C42" s="149" t="s">
        <v>253</v>
      </c>
      <c r="D42" s="151" t="s">
        <v>343</v>
      </c>
      <c r="E42" s="148" t="s">
        <v>146</v>
      </c>
      <c r="F42" s="148">
        <v>43707</v>
      </c>
      <c r="G42" s="150" t="s">
        <v>146</v>
      </c>
      <c r="H42" s="148">
        <v>43707</v>
      </c>
      <c r="I42" s="143" t="s">
        <v>146</v>
      </c>
      <c r="J42" s="143" t="s">
        <v>146</v>
      </c>
      <c r="K42" s="143" t="s">
        <v>146</v>
      </c>
      <c r="L42" s="143" t="s">
        <v>146</v>
      </c>
      <c r="M42" s="143" t="s">
        <v>146</v>
      </c>
      <c r="N42" s="143" t="s">
        <v>146</v>
      </c>
      <c r="O42" s="143" t="s">
        <v>146</v>
      </c>
      <c r="P42" s="143" t="s">
        <v>146</v>
      </c>
      <c r="Q42" s="143" t="s">
        <v>146</v>
      </c>
      <c r="R42" s="20" t="e">
        <f>I42+K42+M42+O42</f>
        <v>#VALUE!</v>
      </c>
      <c r="T42" s="138" t="e">
        <f>J42+L42</f>
        <v>#VALUE!</v>
      </c>
      <c r="W42" s="20" t="e">
        <f t="shared" si="4"/>
        <v>#VALUE!</v>
      </c>
      <c r="X42" s="20" t="e">
        <f t="shared" si="3"/>
        <v>#VALUE!</v>
      </c>
    </row>
    <row r="43" spans="1:24" ht="126" x14ac:dyDescent="0.25">
      <c r="A43" s="36" t="s">
        <v>52</v>
      </c>
      <c r="B43" s="37" t="s">
        <v>53</v>
      </c>
      <c r="C43" s="12" t="s">
        <v>253</v>
      </c>
      <c r="D43" s="38" t="s">
        <v>343</v>
      </c>
      <c r="E43" s="39">
        <v>43474</v>
      </c>
      <c r="F43" s="39">
        <v>43830</v>
      </c>
      <c r="G43" s="39">
        <v>43474</v>
      </c>
      <c r="H43" s="40">
        <v>43830</v>
      </c>
      <c r="I43" s="18">
        <v>116.3</v>
      </c>
      <c r="J43" s="12">
        <v>116.3</v>
      </c>
      <c r="K43" s="12">
        <v>275.3</v>
      </c>
      <c r="L43" s="12">
        <v>275.3</v>
      </c>
      <c r="M43" s="12">
        <v>118.4</v>
      </c>
      <c r="N43" s="75">
        <f>U43-L43-J43</f>
        <v>125.10000000000004</v>
      </c>
      <c r="O43" s="153">
        <v>220</v>
      </c>
      <c r="P43" s="12">
        <f>728.3-J43-L43-N43</f>
        <v>211.59999999999997</v>
      </c>
      <c r="Q43" s="12" t="s">
        <v>146</v>
      </c>
      <c r="R43" s="20">
        <f t="shared" si="1"/>
        <v>730</v>
      </c>
      <c r="S43" s="19">
        <f>391.6-J43</f>
        <v>275.3</v>
      </c>
      <c r="T43" s="19">
        <f t="shared" si="2"/>
        <v>391.6</v>
      </c>
      <c r="U43" s="19">
        <v>516.70000000000005</v>
      </c>
      <c r="W43" s="20">
        <f t="shared" si="4"/>
        <v>125.10000000000002</v>
      </c>
      <c r="X43" s="20">
        <f t="shared" si="3"/>
        <v>0</v>
      </c>
    </row>
    <row r="44" spans="1:24" ht="162" customHeight="1" x14ac:dyDescent="0.25">
      <c r="A44" s="38"/>
      <c r="B44" s="37" t="s">
        <v>415</v>
      </c>
      <c r="C44" s="72" t="s">
        <v>253</v>
      </c>
      <c r="D44" s="38" t="s">
        <v>343</v>
      </c>
      <c r="E44" s="39" t="s">
        <v>146</v>
      </c>
      <c r="F44" s="39">
        <v>43616</v>
      </c>
      <c r="G44" s="77" t="s">
        <v>146</v>
      </c>
      <c r="H44" s="39">
        <v>43612</v>
      </c>
      <c r="I44" s="77" t="s">
        <v>146</v>
      </c>
      <c r="J44" s="77" t="s">
        <v>146</v>
      </c>
      <c r="K44" s="77" t="s">
        <v>146</v>
      </c>
      <c r="L44" s="77" t="s">
        <v>146</v>
      </c>
      <c r="M44" s="77" t="s">
        <v>146</v>
      </c>
      <c r="N44" s="77" t="s">
        <v>146</v>
      </c>
      <c r="O44" s="77" t="s">
        <v>146</v>
      </c>
      <c r="P44" s="77" t="s">
        <v>146</v>
      </c>
      <c r="Q44" s="77" t="s">
        <v>146</v>
      </c>
      <c r="R44" s="20" t="e">
        <f t="shared" si="1"/>
        <v>#VALUE!</v>
      </c>
      <c r="T44" s="19" t="e">
        <f t="shared" si="2"/>
        <v>#VALUE!</v>
      </c>
      <c r="W44" s="20" t="e">
        <f t="shared" si="4"/>
        <v>#VALUE!</v>
      </c>
      <c r="X44" s="20" t="e">
        <f t="shared" si="3"/>
        <v>#VALUE!</v>
      </c>
    </row>
    <row r="45" spans="1:24" ht="147" customHeight="1" x14ac:dyDescent="0.25">
      <c r="A45" s="36" t="s">
        <v>54</v>
      </c>
      <c r="B45" s="37" t="s">
        <v>55</v>
      </c>
      <c r="C45" s="12" t="s">
        <v>253</v>
      </c>
      <c r="D45" s="38" t="s">
        <v>343</v>
      </c>
      <c r="E45" s="39">
        <v>43474</v>
      </c>
      <c r="F45" s="39">
        <v>43830</v>
      </c>
      <c r="G45" s="39">
        <v>43474</v>
      </c>
      <c r="H45" s="40">
        <v>43830</v>
      </c>
      <c r="I45" s="18">
        <v>64.400000000000006</v>
      </c>
      <c r="J45" s="12">
        <v>64.400000000000006</v>
      </c>
      <c r="K45" s="12">
        <v>113.9</v>
      </c>
      <c r="L45" s="12">
        <v>113.9</v>
      </c>
      <c r="M45" s="18">
        <v>20.5</v>
      </c>
      <c r="N45" s="75">
        <f>U45-L45-J45</f>
        <v>31.699999999999989</v>
      </c>
      <c r="O45" s="18">
        <v>70.5</v>
      </c>
      <c r="P45" s="12">
        <f>269.3-J45-L45-N45</f>
        <v>59.300000000000011</v>
      </c>
      <c r="Q45" s="12" t="s">
        <v>146</v>
      </c>
      <c r="R45" s="20">
        <f t="shared" si="1"/>
        <v>269.3</v>
      </c>
      <c r="S45" s="19">
        <f>178.3-J45</f>
        <v>113.9</v>
      </c>
      <c r="T45" s="19">
        <f t="shared" si="2"/>
        <v>178.3</v>
      </c>
      <c r="U45" s="19">
        <v>210</v>
      </c>
      <c r="W45" s="20">
        <f t="shared" si="4"/>
        <v>31.699999999999989</v>
      </c>
      <c r="X45" s="20">
        <f t="shared" si="3"/>
        <v>0</v>
      </c>
    </row>
    <row r="46" spans="1:24" ht="171.75" customHeight="1" x14ac:dyDescent="0.25">
      <c r="A46" s="36"/>
      <c r="B46" s="37" t="s">
        <v>416</v>
      </c>
      <c r="C46" s="12" t="s">
        <v>253</v>
      </c>
      <c r="D46" s="38" t="s">
        <v>343</v>
      </c>
      <c r="E46" s="39" t="s">
        <v>146</v>
      </c>
      <c r="F46" s="39">
        <v>43553</v>
      </c>
      <c r="G46" s="18"/>
      <c r="H46" s="40">
        <v>43537</v>
      </c>
      <c r="I46" s="18" t="s">
        <v>146</v>
      </c>
      <c r="J46" s="18" t="s">
        <v>146</v>
      </c>
      <c r="K46" s="18" t="s">
        <v>146</v>
      </c>
      <c r="L46" s="18" t="s">
        <v>146</v>
      </c>
      <c r="M46" s="18" t="s">
        <v>146</v>
      </c>
      <c r="N46" s="73" t="s">
        <v>146</v>
      </c>
      <c r="O46" s="18" t="s">
        <v>146</v>
      </c>
      <c r="P46" s="18" t="s">
        <v>146</v>
      </c>
      <c r="Q46" s="18" t="s">
        <v>146</v>
      </c>
      <c r="R46" s="20" t="e">
        <f t="shared" si="1"/>
        <v>#VALUE!</v>
      </c>
      <c r="T46" s="19" t="e">
        <f t="shared" si="2"/>
        <v>#VALUE!</v>
      </c>
      <c r="W46" s="20" t="e">
        <f t="shared" si="4"/>
        <v>#VALUE!</v>
      </c>
      <c r="X46" s="20" t="e">
        <f t="shared" si="3"/>
        <v>#VALUE!</v>
      </c>
    </row>
    <row r="47" spans="1:24" ht="126" x14ac:dyDescent="0.25">
      <c r="A47" s="36" t="s">
        <v>56</v>
      </c>
      <c r="B47" s="37" t="s">
        <v>57</v>
      </c>
      <c r="C47" s="72" t="s">
        <v>253</v>
      </c>
      <c r="D47" s="38" t="s">
        <v>343</v>
      </c>
      <c r="E47" s="39">
        <v>43474</v>
      </c>
      <c r="F47" s="39">
        <v>43830</v>
      </c>
      <c r="G47" s="39">
        <v>43474</v>
      </c>
      <c r="H47" s="40">
        <v>43830</v>
      </c>
      <c r="I47" s="77">
        <v>2746.5</v>
      </c>
      <c r="J47" s="72">
        <v>2746.5</v>
      </c>
      <c r="K47" s="77">
        <v>15592.6</v>
      </c>
      <c r="L47" s="77">
        <v>15434.7</v>
      </c>
      <c r="M47" s="72">
        <v>15051.4</v>
      </c>
      <c r="N47" s="75">
        <f>U47-L47-J47</f>
        <v>16276.2</v>
      </c>
      <c r="O47" s="77">
        <v>15385.5</v>
      </c>
      <c r="P47" s="153">
        <f>48111.2-J47-L47-N47</f>
        <v>13653.799999999996</v>
      </c>
      <c r="Q47" s="72" t="s">
        <v>146</v>
      </c>
      <c r="R47" s="20">
        <f t="shared" si="1"/>
        <v>48776</v>
      </c>
      <c r="S47" s="19">
        <f>18181.2-J47</f>
        <v>15434.7</v>
      </c>
      <c r="T47" s="19">
        <f t="shared" si="2"/>
        <v>18181.2</v>
      </c>
      <c r="U47" s="152">
        <v>34457.4</v>
      </c>
      <c r="W47" s="20">
        <f t="shared" si="4"/>
        <v>16276.2</v>
      </c>
      <c r="X47" s="20">
        <f t="shared" si="3"/>
        <v>0</v>
      </c>
    </row>
    <row r="48" spans="1:24" ht="211.5" customHeight="1" x14ac:dyDescent="0.25">
      <c r="A48" s="38"/>
      <c r="B48" s="37" t="s">
        <v>437</v>
      </c>
      <c r="C48" s="12" t="s">
        <v>253</v>
      </c>
      <c r="D48" s="38" t="s">
        <v>343</v>
      </c>
      <c r="E48" s="12" t="s">
        <v>146</v>
      </c>
      <c r="F48" s="39">
        <v>43524</v>
      </c>
      <c r="G48" s="39" t="s">
        <v>146</v>
      </c>
      <c r="H48" s="39">
        <v>43522</v>
      </c>
      <c r="I48" s="18" t="s">
        <v>146</v>
      </c>
      <c r="J48" s="18" t="s">
        <v>146</v>
      </c>
      <c r="K48" s="18" t="s">
        <v>146</v>
      </c>
      <c r="L48" s="18" t="s">
        <v>146</v>
      </c>
      <c r="M48" s="18" t="s">
        <v>146</v>
      </c>
      <c r="N48" s="73" t="s">
        <v>146</v>
      </c>
      <c r="O48" s="18" t="s">
        <v>146</v>
      </c>
      <c r="P48" s="18" t="s">
        <v>146</v>
      </c>
      <c r="Q48" s="18" t="s">
        <v>146</v>
      </c>
      <c r="R48" s="20" t="e">
        <f t="shared" si="1"/>
        <v>#VALUE!</v>
      </c>
      <c r="T48" s="19" t="e">
        <f t="shared" si="2"/>
        <v>#VALUE!</v>
      </c>
      <c r="W48" s="20" t="e">
        <f t="shared" si="4"/>
        <v>#VALUE!</v>
      </c>
      <c r="X48" s="20" t="e">
        <f t="shared" si="3"/>
        <v>#VALUE!</v>
      </c>
    </row>
    <row r="49" spans="1:24" ht="144" customHeight="1" x14ac:dyDescent="0.25">
      <c r="A49" s="36" t="s">
        <v>58</v>
      </c>
      <c r="B49" s="37" t="s">
        <v>59</v>
      </c>
      <c r="C49" s="12" t="s">
        <v>253</v>
      </c>
      <c r="D49" s="38" t="s">
        <v>343</v>
      </c>
      <c r="E49" s="39">
        <v>43474</v>
      </c>
      <c r="F49" s="39">
        <v>43830</v>
      </c>
      <c r="G49" s="39">
        <v>43474</v>
      </c>
      <c r="H49" s="40">
        <v>43830</v>
      </c>
      <c r="I49" s="18">
        <v>185.3</v>
      </c>
      <c r="J49" s="12">
        <v>185.3</v>
      </c>
      <c r="K49" s="153">
        <v>658</v>
      </c>
      <c r="L49" s="153">
        <v>658</v>
      </c>
      <c r="M49" s="18">
        <v>549.4</v>
      </c>
      <c r="N49" s="75">
        <f>U49-L49-J49</f>
        <v>553.90000000000009</v>
      </c>
      <c r="O49" s="18">
        <v>538.20000000000005</v>
      </c>
      <c r="P49" s="153">
        <f>1803.3-J49-L49-N49</f>
        <v>406.09999999999991</v>
      </c>
      <c r="Q49" s="12" t="s">
        <v>146</v>
      </c>
      <c r="R49" s="20">
        <f t="shared" si="1"/>
        <v>1930.8999999999999</v>
      </c>
      <c r="S49" s="19">
        <f>843.3-J49</f>
        <v>658</v>
      </c>
      <c r="T49" s="19">
        <f t="shared" si="2"/>
        <v>843.3</v>
      </c>
      <c r="U49" s="152">
        <v>1397.2</v>
      </c>
      <c r="W49" s="20">
        <f t="shared" si="4"/>
        <v>553.90000000000009</v>
      </c>
      <c r="X49" s="20">
        <f t="shared" si="3"/>
        <v>0</v>
      </c>
    </row>
    <row r="50" spans="1:24" ht="187.5" customHeight="1" x14ac:dyDescent="0.25">
      <c r="A50" s="38"/>
      <c r="B50" s="37" t="s">
        <v>417</v>
      </c>
      <c r="C50" s="12" t="s">
        <v>253</v>
      </c>
      <c r="D50" s="38" t="s">
        <v>343</v>
      </c>
      <c r="E50" s="153" t="s">
        <v>146</v>
      </c>
      <c r="F50" s="39">
        <v>43524</v>
      </c>
      <c r="G50" s="153" t="s">
        <v>146</v>
      </c>
      <c r="H50" s="39">
        <v>43522</v>
      </c>
      <c r="I50" s="18" t="s">
        <v>146</v>
      </c>
      <c r="J50" s="18" t="s">
        <v>146</v>
      </c>
      <c r="K50" s="18" t="s">
        <v>146</v>
      </c>
      <c r="L50" s="18" t="s">
        <v>146</v>
      </c>
      <c r="M50" s="18" t="s">
        <v>146</v>
      </c>
      <c r="N50" s="73" t="s">
        <v>146</v>
      </c>
      <c r="O50" s="18" t="s">
        <v>146</v>
      </c>
      <c r="P50" s="18" t="s">
        <v>146</v>
      </c>
      <c r="Q50" s="18" t="s">
        <v>146</v>
      </c>
      <c r="R50" s="20" t="e">
        <f t="shared" si="1"/>
        <v>#VALUE!</v>
      </c>
      <c r="T50" s="19" t="e">
        <f t="shared" si="2"/>
        <v>#VALUE!</v>
      </c>
      <c r="W50" s="20" t="e">
        <f t="shared" si="4"/>
        <v>#VALUE!</v>
      </c>
      <c r="X50" s="20" t="e">
        <f t="shared" si="3"/>
        <v>#VALUE!</v>
      </c>
    </row>
    <row r="51" spans="1:24" s="152" customFormat="1" ht="263.25" customHeight="1" x14ac:dyDescent="0.25">
      <c r="A51" s="147"/>
      <c r="B51" s="156" t="s">
        <v>463</v>
      </c>
      <c r="C51" s="220"/>
      <c r="D51" s="147" t="s">
        <v>464</v>
      </c>
      <c r="E51" s="153" t="s">
        <v>146</v>
      </c>
      <c r="F51" s="157">
        <v>43739</v>
      </c>
      <c r="G51" s="153" t="s">
        <v>146</v>
      </c>
      <c r="H51" s="40">
        <v>43738</v>
      </c>
      <c r="I51" s="153" t="s">
        <v>146</v>
      </c>
      <c r="J51" s="153" t="s">
        <v>146</v>
      </c>
      <c r="K51" s="153" t="s">
        <v>146</v>
      </c>
      <c r="L51" s="153" t="s">
        <v>146</v>
      </c>
      <c r="M51" s="153" t="s">
        <v>146</v>
      </c>
      <c r="N51" s="153" t="s">
        <v>146</v>
      </c>
      <c r="O51" s="153" t="s">
        <v>146</v>
      </c>
      <c r="P51" s="153" t="s">
        <v>146</v>
      </c>
      <c r="Q51" s="153" t="s">
        <v>146</v>
      </c>
      <c r="R51" s="20"/>
      <c r="W51" s="20"/>
      <c r="X51" s="20"/>
    </row>
    <row r="52" spans="1:24" ht="169.5" customHeight="1" x14ac:dyDescent="0.25">
      <c r="A52" s="36" t="s">
        <v>60</v>
      </c>
      <c r="B52" s="37" t="s">
        <v>419</v>
      </c>
      <c r="C52" s="12" t="s">
        <v>253</v>
      </c>
      <c r="D52" s="38" t="s">
        <v>343</v>
      </c>
      <c r="E52" s="39">
        <v>43474</v>
      </c>
      <c r="F52" s="39">
        <v>43830</v>
      </c>
      <c r="G52" s="39">
        <v>43474</v>
      </c>
      <c r="H52" s="40">
        <v>43830</v>
      </c>
      <c r="I52" s="18">
        <v>365.5</v>
      </c>
      <c r="J52" s="18">
        <v>365.5</v>
      </c>
      <c r="K52" s="18">
        <v>598.9</v>
      </c>
      <c r="L52" s="12">
        <v>598.9</v>
      </c>
      <c r="M52" s="18">
        <v>362.7</v>
      </c>
      <c r="N52" s="75">
        <f>U52-L52-J52</f>
        <v>375.30000000000007</v>
      </c>
      <c r="O52" s="18">
        <v>472.9</v>
      </c>
      <c r="P52" s="153">
        <f>1762.2-'План реализации'!J52-'План реализации'!L52-'План реализации'!N52</f>
        <v>422.5</v>
      </c>
      <c r="Q52" s="12" t="s">
        <v>146</v>
      </c>
      <c r="R52" s="20">
        <f t="shared" si="1"/>
        <v>1800</v>
      </c>
      <c r="S52" s="20">
        <f>964.4-J52</f>
        <v>598.9</v>
      </c>
      <c r="T52" s="19">
        <f t="shared" si="2"/>
        <v>964.4</v>
      </c>
      <c r="U52" s="19">
        <v>1339.7</v>
      </c>
      <c r="W52" s="20">
        <f t="shared" si="4"/>
        <v>375.30000000000007</v>
      </c>
      <c r="X52" s="20">
        <f t="shared" si="3"/>
        <v>0</v>
      </c>
    </row>
    <row r="53" spans="1:24" ht="240" customHeight="1" x14ac:dyDescent="0.25">
      <c r="A53" s="38"/>
      <c r="B53" s="37" t="s">
        <v>418</v>
      </c>
      <c r="C53" s="12" t="s">
        <v>253</v>
      </c>
      <c r="D53" s="38" t="s">
        <v>343</v>
      </c>
      <c r="E53" s="153" t="s">
        <v>146</v>
      </c>
      <c r="F53" s="39">
        <v>43524</v>
      </c>
      <c r="G53" s="153" t="s">
        <v>146</v>
      </c>
      <c r="H53" s="39">
        <v>43522</v>
      </c>
      <c r="I53" s="18" t="s">
        <v>146</v>
      </c>
      <c r="J53" s="18" t="s">
        <v>146</v>
      </c>
      <c r="K53" s="18" t="s">
        <v>146</v>
      </c>
      <c r="L53" s="18" t="s">
        <v>146</v>
      </c>
      <c r="M53" s="18" t="s">
        <v>146</v>
      </c>
      <c r="N53" s="73" t="s">
        <v>146</v>
      </c>
      <c r="O53" s="18" t="s">
        <v>146</v>
      </c>
      <c r="P53" s="18" t="s">
        <v>146</v>
      </c>
      <c r="Q53" s="18" t="s">
        <v>146</v>
      </c>
      <c r="R53" s="20" t="e">
        <f t="shared" si="1"/>
        <v>#VALUE!</v>
      </c>
      <c r="T53" s="19" t="e">
        <f t="shared" si="2"/>
        <v>#VALUE!</v>
      </c>
      <c r="W53" s="20" t="e">
        <f t="shared" si="4"/>
        <v>#VALUE!</v>
      </c>
      <c r="X53" s="20" t="e">
        <f t="shared" si="3"/>
        <v>#VALUE!</v>
      </c>
    </row>
    <row r="54" spans="1:24" ht="167.25" customHeight="1" x14ac:dyDescent="0.25">
      <c r="A54" s="36" t="s">
        <v>282</v>
      </c>
      <c r="B54" s="37" t="s">
        <v>295</v>
      </c>
      <c r="C54" s="72" t="s">
        <v>253</v>
      </c>
      <c r="D54" s="38" t="s">
        <v>343</v>
      </c>
      <c r="E54" s="39">
        <v>43474</v>
      </c>
      <c r="F54" s="39">
        <v>43830</v>
      </c>
      <c r="G54" s="39">
        <v>43474</v>
      </c>
      <c r="H54" s="40">
        <v>43830</v>
      </c>
      <c r="I54" s="77">
        <v>0</v>
      </c>
      <c r="J54" s="77">
        <v>0</v>
      </c>
      <c r="K54" s="77">
        <v>0</v>
      </c>
      <c r="L54" s="72">
        <v>0</v>
      </c>
      <c r="M54" s="77">
        <v>0</v>
      </c>
      <c r="N54" s="75">
        <f t="shared" ref="N54:N61" si="5">U54-L54-J54</f>
        <v>0</v>
      </c>
      <c r="O54" s="77">
        <v>8256</v>
      </c>
      <c r="P54" s="153">
        <f>6718.7-J54-L54-N54</f>
        <v>6718.7</v>
      </c>
      <c r="Q54" s="72" t="s">
        <v>146</v>
      </c>
      <c r="R54" s="20">
        <f t="shared" si="1"/>
        <v>8256</v>
      </c>
      <c r="T54" s="19">
        <f t="shared" si="2"/>
        <v>0</v>
      </c>
      <c r="U54" s="19">
        <v>0</v>
      </c>
      <c r="W54" s="20">
        <f t="shared" si="4"/>
        <v>0</v>
      </c>
      <c r="X54" s="20">
        <f t="shared" si="3"/>
        <v>0</v>
      </c>
    </row>
    <row r="55" spans="1:24" x14ac:dyDescent="0.25">
      <c r="A55" s="36"/>
      <c r="B55" s="37" t="s">
        <v>260</v>
      </c>
      <c r="C55" s="72"/>
      <c r="D55" s="38"/>
      <c r="E55" s="39"/>
      <c r="F55" s="39"/>
      <c r="G55" s="39"/>
      <c r="H55" s="40"/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5">
        <f t="shared" si="5"/>
        <v>0</v>
      </c>
      <c r="O55" s="78">
        <v>412.8</v>
      </c>
      <c r="P55" s="78">
        <v>335.9</v>
      </c>
      <c r="Q55" s="78"/>
      <c r="R55" s="20">
        <f t="shared" si="1"/>
        <v>412.8</v>
      </c>
      <c r="T55" s="19">
        <f t="shared" si="2"/>
        <v>0</v>
      </c>
      <c r="U55" s="19">
        <v>0</v>
      </c>
      <c r="W55" s="20">
        <f t="shared" si="4"/>
        <v>0</v>
      </c>
      <c r="X55" s="20">
        <f t="shared" si="3"/>
        <v>0</v>
      </c>
    </row>
    <row r="56" spans="1:24" x14ac:dyDescent="0.25">
      <c r="A56" s="36"/>
      <c r="B56" s="37" t="s">
        <v>256</v>
      </c>
      <c r="C56" s="72"/>
      <c r="D56" s="38"/>
      <c r="E56" s="39"/>
      <c r="F56" s="39"/>
      <c r="G56" s="39"/>
      <c r="H56" s="40"/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5">
        <f t="shared" si="5"/>
        <v>0</v>
      </c>
      <c r="O56" s="78">
        <v>7843.2</v>
      </c>
      <c r="P56" s="78">
        <v>6382.8</v>
      </c>
      <c r="Q56" s="78"/>
      <c r="R56" s="20">
        <f t="shared" si="1"/>
        <v>7843.2</v>
      </c>
      <c r="T56" s="19">
        <f t="shared" si="2"/>
        <v>0</v>
      </c>
      <c r="U56" s="19">
        <v>0</v>
      </c>
      <c r="W56" s="20">
        <f t="shared" si="4"/>
        <v>0</v>
      </c>
      <c r="X56" s="20">
        <f t="shared" si="3"/>
        <v>0</v>
      </c>
    </row>
    <row r="57" spans="1:24" s="228" customFormat="1" ht="247.5" customHeight="1" x14ac:dyDescent="0.25">
      <c r="A57" s="219" t="s">
        <v>283</v>
      </c>
      <c r="B57" s="44" t="s">
        <v>440</v>
      </c>
      <c r="C57" s="135" t="s">
        <v>253</v>
      </c>
      <c r="D57" s="223" t="s">
        <v>343</v>
      </c>
      <c r="E57" s="224">
        <v>43474</v>
      </c>
      <c r="F57" s="224">
        <v>43830</v>
      </c>
      <c r="G57" s="224">
        <v>43474</v>
      </c>
      <c r="H57" s="225">
        <v>43830</v>
      </c>
      <c r="I57" s="183">
        <v>0</v>
      </c>
      <c r="J57" s="183">
        <v>0</v>
      </c>
      <c r="K57" s="183">
        <v>886.4</v>
      </c>
      <c r="L57" s="135">
        <v>886.4</v>
      </c>
      <c r="M57" s="183">
        <v>6604.2</v>
      </c>
      <c r="N57" s="226">
        <f t="shared" si="5"/>
        <v>7287.5</v>
      </c>
      <c r="O57" s="183">
        <v>111334.2</v>
      </c>
      <c r="P57" s="183">
        <f>25723.5-J57-L57-N57</f>
        <v>17549.599999999999</v>
      </c>
      <c r="Q57" s="135" t="s">
        <v>146</v>
      </c>
      <c r="R57" s="227">
        <f t="shared" si="1"/>
        <v>118824.8</v>
      </c>
      <c r="T57" s="228">
        <f t="shared" si="2"/>
        <v>886.4</v>
      </c>
      <c r="U57" s="228">
        <f>U58+U59</f>
        <v>8173.9</v>
      </c>
      <c r="W57" s="227">
        <f t="shared" si="4"/>
        <v>7287.5</v>
      </c>
      <c r="X57" s="227">
        <f t="shared" si="3"/>
        <v>0</v>
      </c>
    </row>
    <row r="58" spans="1:24" s="228" customFormat="1" x14ac:dyDescent="0.25">
      <c r="A58" s="219"/>
      <c r="B58" s="44" t="s">
        <v>260</v>
      </c>
      <c r="C58" s="135"/>
      <c r="D58" s="223"/>
      <c r="E58" s="224"/>
      <c r="F58" s="224"/>
      <c r="G58" s="224"/>
      <c r="H58" s="225"/>
      <c r="I58" s="229">
        <v>0</v>
      </c>
      <c r="J58" s="229">
        <v>0</v>
      </c>
      <c r="K58" s="229">
        <v>842.1</v>
      </c>
      <c r="L58" s="229">
        <v>842.1</v>
      </c>
      <c r="M58" s="230">
        <v>1585</v>
      </c>
      <c r="N58" s="226">
        <v>364.4</v>
      </c>
      <c r="O58" s="229">
        <v>3514.2</v>
      </c>
      <c r="P58" s="230">
        <f>1286.2-L58-N58</f>
        <v>79.700000000000045</v>
      </c>
      <c r="Q58" s="229"/>
      <c r="R58" s="227">
        <f t="shared" si="1"/>
        <v>5941.2999999999993</v>
      </c>
      <c r="T58" s="228">
        <f t="shared" si="2"/>
        <v>842.1</v>
      </c>
      <c r="U58" s="228">
        <v>7765.2</v>
      </c>
      <c r="W58" s="227">
        <f t="shared" si="4"/>
        <v>6923.0999999999995</v>
      </c>
      <c r="X58" s="227">
        <f t="shared" si="3"/>
        <v>6558.7</v>
      </c>
    </row>
    <row r="59" spans="1:24" s="228" customFormat="1" x14ac:dyDescent="0.25">
      <c r="A59" s="219"/>
      <c r="B59" s="44" t="s">
        <v>256</v>
      </c>
      <c r="C59" s="135"/>
      <c r="D59" s="223"/>
      <c r="E59" s="224"/>
      <c r="F59" s="224"/>
      <c r="G59" s="224"/>
      <c r="H59" s="225"/>
      <c r="I59" s="229">
        <v>0</v>
      </c>
      <c r="J59" s="229">
        <v>0</v>
      </c>
      <c r="K59" s="229">
        <v>44.3</v>
      </c>
      <c r="L59" s="229">
        <v>44.3</v>
      </c>
      <c r="M59" s="229">
        <v>5019.2</v>
      </c>
      <c r="N59" s="226">
        <v>6923.1</v>
      </c>
      <c r="O59" s="230">
        <v>107820</v>
      </c>
      <c r="P59" s="229">
        <f>24437.3-L59-N59</f>
        <v>17469.900000000001</v>
      </c>
      <c r="Q59" s="229"/>
      <c r="R59" s="227">
        <f t="shared" si="1"/>
        <v>112883.5</v>
      </c>
      <c r="T59" s="228">
        <f t="shared" si="2"/>
        <v>44.3</v>
      </c>
      <c r="U59" s="228">
        <v>408.7</v>
      </c>
      <c r="W59" s="227">
        <f t="shared" si="4"/>
        <v>364.4</v>
      </c>
      <c r="X59" s="227">
        <f t="shared" si="3"/>
        <v>-6558.7000000000007</v>
      </c>
    </row>
    <row r="60" spans="1:24" s="15" customFormat="1" ht="63" x14ac:dyDescent="0.25">
      <c r="A60" s="199" t="s">
        <v>255</v>
      </c>
      <c r="B60" s="200" t="s">
        <v>389</v>
      </c>
      <c r="C60" s="72" t="s">
        <v>253</v>
      </c>
      <c r="D60" s="37" t="s">
        <v>346</v>
      </c>
      <c r="E60" s="39">
        <v>43474</v>
      </c>
      <c r="F60" s="39">
        <v>43830</v>
      </c>
      <c r="G60" s="39">
        <v>43474</v>
      </c>
      <c r="H60" s="40">
        <v>43829</v>
      </c>
      <c r="I60" s="79">
        <v>241067</v>
      </c>
      <c r="J60" s="79">
        <v>241067</v>
      </c>
      <c r="K60" s="79">
        <v>315317.90000000002</v>
      </c>
      <c r="L60" s="78">
        <v>313162.69999999995</v>
      </c>
      <c r="M60" s="79">
        <v>294743</v>
      </c>
      <c r="N60" s="75">
        <f t="shared" si="5"/>
        <v>307838.60000000009</v>
      </c>
      <c r="O60" s="79">
        <v>317412.09999999998</v>
      </c>
      <c r="P60" s="79">
        <f>1166493.4-J60-L60-N60</f>
        <v>304425.09999999986</v>
      </c>
      <c r="Q60" s="78" t="s">
        <v>146</v>
      </c>
      <c r="R60" s="126">
        <f t="shared" si="1"/>
        <v>1168540</v>
      </c>
      <c r="S60" s="126">
        <f>554229.7-J60</f>
        <v>313162.69999999995</v>
      </c>
      <c r="T60" s="19">
        <f t="shared" si="2"/>
        <v>554229.69999999995</v>
      </c>
      <c r="U60" s="15">
        <v>862068.3</v>
      </c>
      <c r="W60" s="20">
        <f t="shared" si="4"/>
        <v>307838.60000000009</v>
      </c>
      <c r="X60" s="20">
        <f t="shared" si="3"/>
        <v>0</v>
      </c>
    </row>
    <row r="61" spans="1:24" x14ac:dyDescent="0.25">
      <c r="A61" s="36"/>
      <c r="B61" s="37" t="s">
        <v>256</v>
      </c>
      <c r="C61" s="12"/>
      <c r="D61" s="45"/>
      <c r="E61" s="39"/>
      <c r="F61" s="39"/>
      <c r="G61" s="39"/>
      <c r="H61" s="40"/>
      <c r="I61" s="79">
        <v>241067</v>
      </c>
      <c r="J61" s="79">
        <v>241067</v>
      </c>
      <c r="K61" s="79">
        <v>315317.90000000002</v>
      </c>
      <c r="L61" s="78">
        <v>313162.69999999995</v>
      </c>
      <c r="M61" s="79">
        <v>294743</v>
      </c>
      <c r="N61" s="75">
        <f t="shared" si="5"/>
        <v>307838.60000000009</v>
      </c>
      <c r="O61" s="79">
        <v>317412.09999999998</v>
      </c>
      <c r="P61" s="79">
        <f>1166493.4-J61-L61-N61</f>
        <v>304425.09999999986</v>
      </c>
      <c r="Q61" s="32" t="s">
        <v>146</v>
      </c>
      <c r="R61" s="20">
        <f t="shared" si="1"/>
        <v>1168540</v>
      </c>
      <c r="T61" s="19">
        <f t="shared" si="2"/>
        <v>554229.69999999995</v>
      </c>
      <c r="U61" s="19">
        <f>U60</f>
        <v>862068.3</v>
      </c>
      <c r="W61" s="20">
        <f t="shared" si="4"/>
        <v>307838.60000000009</v>
      </c>
      <c r="X61" s="20">
        <f t="shared" si="3"/>
        <v>0</v>
      </c>
    </row>
    <row r="62" spans="1:24" ht="142.5" customHeight="1" x14ac:dyDescent="0.25">
      <c r="A62" s="154" t="s">
        <v>93</v>
      </c>
      <c r="B62" s="156" t="s">
        <v>94</v>
      </c>
      <c r="C62" s="158" t="s">
        <v>253</v>
      </c>
      <c r="D62" s="147" t="s">
        <v>343</v>
      </c>
      <c r="E62" s="157">
        <v>43474</v>
      </c>
      <c r="F62" s="157">
        <v>43830</v>
      </c>
      <c r="G62" s="157">
        <v>43474</v>
      </c>
      <c r="H62" s="40">
        <v>43830</v>
      </c>
      <c r="I62" s="153" t="s">
        <v>146</v>
      </c>
      <c r="J62" s="153" t="s">
        <v>146</v>
      </c>
      <c r="K62" s="18" t="s">
        <v>146</v>
      </c>
      <c r="L62" s="18" t="s">
        <v>146</v>
      </c>
      <c r="M62" s="18" t="s">
        <v>146</v>
      </c>
      <c r="N62" s="73" t="s">
        <v>146</v>
      </c>
      <c r="O62" s="18" t="s">
        <v>146</v>
      </c>
      <c r="P62" s="18" t="s">
        <v>146</v>
      </c>
      <c r="Q62" s="18" t="s">
        <v>146</v>
      </c>
      <c r="R62" s="20" t="e">
        <f t="shared" si="1"/>
        <v>#VALUE!</v>
      </c>
      <c r="T62" s="19" t="e">
        <f t="shared" si="2"/>
        <v>#VALUE!</v>
      </c>
      <c r="W62" s="20" t="e">
        <f t="shared" si="4"/>
        <v>#VALUE!</v>
      </c>
      <c r="X62" s="20" t="e">
        <f t="shared" si="3"/>
        <v>#VALUE!</v>
      </c>
    </row>
    <row r="63" spans="1:24" s="145" customFormat="1" ht="402.75" customHeight="1" x14ac:dyDescent="0.25">
      <c r="A63" s="147"/>
      <c r="B63" s="156" t="s">
        <v>420</v>
      </c>
      <c r="C63" s="158" t="s">
        <v>253</v>
      </c>
      <c r="D63" s="147" t="s">
        <v>343</v>
      </c>
      <c r="E63" s="153" t="s">
        <v>146</v>
      </c>
      <c r="F63" s="157">
        <v>43707</v>
      </c>
      <c r="G63" s="153" t="s">
        <v>146</v>
      </c>
      <c r="H63" s="157" t="s">
        <v>146</v>
      </c>
      <c r="I63" s="153" t="s">
        <v>146</v>
      </c>
      <c r="J63" s="153" t="s">
        <v>146</v>
      </c>
      <c r="K63" s="150" t="s">
        <v>146</v>
      </c>
      <c r="L63" s="150" t="s">
        <v>146</v>
      </c>
      <c r="M63" s="150" t="s">
        <v>146</v>
      </c>
      <c r="N63" s="150" t="s">
        <v>146</v>
      </c>
      <c r="O63" s="150" t="s">
        <v>146</v>
      </c>
      <c r="P63" s="150" t="s">
        <v>146</v>
      </c>
      <c r="Q63" s="132" t="s">
        <v>438</v>
      </c>
      <c r="R63" s="20" t="e">
        <f>I63+K63+M63+O63</f>
        <v>#VALUE!</v>
      </c>
      <c r="T63" s="145" t="e">
        <f>J63+L63</f>
        <v>#VALUE!</v>
      </c>
      <c r="W63" s="20" t="e">
        <f t="shared" si="4"/>
        <v>#VALUE!</v>
      </c>
      <c r="X63" s="20" t="e">
        <f t="shared" si="3"/>
        <v>#VALUE!</v>
      </c>
    </row>
    <row r="64" spans="1:24" ht="127.5" customHeight="1" x14ac:dyDescent="0.25">
      <c r="A64" s="154" t="s">
        <v>95</v>
      </c>
      <c r="B64" s="156" t="s">
        <v>96</v>
      </c>
      <c r="C64" s="158" t="s">
        <v>253</v>
      </c>
      <c r="D64" s="156" t="s">
        <v>257</v>
      </c>
      <c r="E64" s="157">
        <v>43474</v>
      </c>
      <c r="F64" s="157">
        <v>43830</v>
      </c>
      <c r="G64" s="157">
        <v>43474</v>
      </c>
      <c r="H64" s="40">
        <v>43644</v>
      </c>
      <c r="I64" s="153" t="s">
        <v>146</v>
      </c>
      <c r="J64" s="153" t="s">
        <v>146</v>
      </c>
      <c r="K64" s="77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7" t="s">
        <v>146</v>
      </c>
      <c r="R64" s="20" t="e">
        <f t="shared" si="1"/>
        <v>#VALUE!</v>
      </c>
      <c r="T64" s="19" t="e">
        <f t="shared" si="2"/>
        <v>#VALUE!</v>
      </c>
      <c r="W64" s="20" t="e">
        <f t="shared" si="4"/>
        <v>#VALUE!</v>
      </c>
      <c r="X64" s="20" t="e">
        <f t="shared" si="3"/>
        <v>#VALUE!</v>
      </c>
    </row>
    <row r="65" spans="1:24" ht="115.5" customHeight="1" x14ac:dyDescent="0.25">
      <c r="A65" s="154"/>
      <c r="B65" s="156" t="s">
        <v>421</v>
      </c>
      <c r="C65" s="158" t="s">
        <v>253</v>
      </c>
      <c r="D65" s="156" t="s">
        <v>257</v>
      </c>
      <c r="E65" s="157" t="s">
        <v>146</v>
      </c>
      <c r="F65" s="157">
        <v>43616</v>
      </c>
      <c r="G65" s="157" t="s">
        <v>146</v>
      </c>
      <c r="H65" s="40">
        <v>43616</v>
      </c>
      <c r="I65" s="153" t="s">
        <v>146</v>
      </c>
      <c r="J65" s="153" t="s">
        <v>146</v>
      </c>
      <c r="K65" s="77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7" t="s">
        <v>146</v>
      </c>
      <c r="R65" s="20" t="e">
        <f t="shared" si="1"/>
        <v>#VALUE!</v>
      </c>
      <c r="T65" s="19" t="e">
        <f t="shared" si="2"/>
        <v>#VALUE!</v>
      </c>
      <c r="W65" s="20" t="e">
        <f t="shared" si="4"/>
        <v>#VALUE!</v>
      </c>
      <c r="X65" s="20" t="e">
        <f t="shared" si="3"/>
        <v>#VALUE!</v>
      </c>
    </row>
    <row r="66" spans="1:24" ht="126.75" customHeight="1" x14ac:dyDescent="0.25">
      <c r="A66" s="154"/>
      <c r="B66" s="156" t="s">
        <v>422</v>
      </c>
      <c r="C66" s="158" t="s">
        <v>253</v>
      </c>
      <c r="D66" s="156" t="s">
        <v>257</v>
      </c>
      <c r="E66" s="157" t="s">
        <v>146</v>
      </c>
      <c r="F66" s="157">
        <v>43524</v>
      </c>
      <c r="G66" s="157" t="s">
        <v>146</v>
      </c>
      <c r="H66" s="40">
        <v>43524</v>
      </c>
      <c r="I66" s="153" t="s">
        <v>146</v>
      </c>
      <c r="J66" s="153" t="s">
        <v>146</v>
      </c>
      <c r="K66" s="77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7" t="s">
        <v>146</v>
      </c>
      <c r="R66" s="20" t="e">
        <f t="shared" si="1"/>
        <v>#VALUE!</v>
      </c>
      <c r="T66" s="19" t="e">
        <f t="shared" si="2"/>
        <v>#VALUE!</v>
      </c>
      <c r="W66" s="20" t="e">
        <f t="shared" si="4"/>
        <v>#VALUE!</v>
      </c>
      <c r="X66" s="20" t="e">
        <f t="shared" si="3"/>
        <v>#VALUE!</v>
      </c>
    </row>
    <row r="67" spans="1:24" ht="127.5" customHeight="1" x14ac:dyDescent="0.25">
      <c r="A67" s="154" t="s">
        <v>97</v>
      </c>
      <c r="B67" s="156" t="s">
        <v>98</v>
      </c>
      <c r="C67" s="158" t="s">
        <v>253</v>
      </c>
      <c r="D67" s="156" t="s">
        <v>258</v>
      </c>
      <c r="E67" s="157">
        <v>43474</v>
      </c>
      <c r="F67" s="157">
        <v>43830</v>
      </c>
      <c r="G67" s="157">
        <v>43474</v>
      </c>
      <c r="H67" s="40">
        <v>43774</v>
      </c>
      <c r="I67" s="153" t="s">
        <v>146</v>
      </c>
      <c r="J67" s="153" t="s">
        <v>146</v>
      </c>
      <c r="K67" s="18" t="s">
        <v>146</v>
      </c>
      <c r="L67" s="18" t="s">
        <v>146</v>
      </c>
      <c r="M67" s="18" t="s">
        <v>146</v>
      </c>
      <c r="N67" s="73" t="s">
        <v>146</v>
      </c>
      <c r="O67" s="18" t="s">
        <v>146</v>
      </c>
      <c r="P67" s="18" t="s">
        <v>146</v>
      </c>
      <c r="Q67" s="18" t="s">
        <v>146</v>
      </c>
      <c r="R67" s="20" t="e">
        <f t="shared" si="1"/>
        <v>#VALUE!</v>
      </c>
      <c r="T67" s="19" t="e">
        <f t="shared" si="2"/>
        <v>#VALUE!</v>
      </c>
      <c r="W67" s="20" t="e">
        <f t="shared" si="4"/>
        <v>#VALUE!</v>
      </c>
      <c r="X67" s="20" t="e">
        <f t="shared" si="3"/>
        <v>#VALUE!</v>
      </c>
    </row>
    <row r="68" spans="1:24" s="152" customFormat="1" ht="147" customHeight="1" x14ac:dyDescent="0.25">
      <c r="A68" s="154"/>
      <c r="B68" s="156" t="s">
        <v>423</v>
      </c>
      <c r="C68" s="158" t="s">
        <v>253</v>
      </c>
      <c r="D68" s="160" t="s">
        <v>258</v>
      </c>
      <c r="E68" s="157" t="s">
        <v>146</v>
      </c>
      <c r="F68" s="157">
        <v>43708</v>
      </c>
      <c r="G68" s="157" t="s">
        <v>146</v>
      </c>
      <c r="H68" s="157">
        <v>43705</v>
      </c>
      <c r="I68" s="153" t="s">
        <v>146</v>
      </c>
      <c r="J68" s="153" t="s">
        <v>146</v>
      </c>
      <c r="K68" s="153" t="s">
        <v>146</v>
      </c>
      <c r="L68" s="153" t="s">
        <v>146</v>
      </c>
      <c r="M68" s="153" t="s">
        <v>146</v>
      </c>
      <c r="N68" s="153" t="s">
        <v>146</v>
      </c>
      <c r="O68" s="153" t="s">
        <v>146</v>
      </c>
      <c r="P68" s="153" t="s">
        <v>146</v>
      </c>
      <c r="Q68" s="153" t="s">
        <v>146</v>
      </c>
      <c r="R68" s="20" t="e">
        <f>I68+K68+M68+O68</f>
        <v>#VALUE!</v>
      </c>
      <c r="T68" s="152" t="e">
        <f>J68+L68</f>
        <v>#VALUE!</v>
      </c>
      <c r="W68" s="20" t="e">
        <f t="shared" si="4"/>
        <v>#VALUE!</v>
      </c>
      <c r="X68" s="20" t="e">
        <f t="shared" si="3"/>
        <v>#VALUE!</v>
      </c>
    </row>
    <row r="69" spans="1:24" ht="123.75" customHeight="1" x14ac:dyDescent="0.25">
      <c r="A69" s="154" t="s">
        <v>439</v>
      </c>
      <c r="B69" s="156" t="s">
        <v>69</v>
      </c>
      <c r="C69" s="158" t="s">
        <v>253</v>
      </c>
      <c r="D69" s="156" t="s">
        <v>346</v>
      </c>
      <c r="E69" s="157">
        <v>43474</v>
      </c>
      <c r="F69" s="157">
        <v>43830</v>
      </c>
      <c r="G69" s="157">
        <v>43474</v>
      </c>
      <c r="H69" s="40">
        <v>43830</v>
      </c>
      <c r="I69" s="79">
        <v>104447.4</v>
      </c>
      <c r="J69" s="78">
        <v>104447.4</v>
      </c>
      <c r="K69" s="79">
        <v>153392.4</v>
      </c>
      <c r="L69" s="79">
        <v>147010.9</v>
      </c>
      <c r="M69" s="79">
        <v>156441.1</v>
      </c>
      <c r="N69" s="75">
        <f>U69-L69-J69</f>
        <v>173582.6</v>
      </c>
      <c r="O69" s="79">
        <v>262575.59999999998</v>
      </c>
      <c r="P69" s="79">
        <f>675673.6-J69-L69-N69</f>
        <v>250632.69999999992</v>
      </c>
      <c r="Q69" s="78" t="s">
        <v>146</v>
      </c>
      <c r="R69" s="20">
        <f t="shared" si="1"/>
        <v>676856.5</v>
      </c>
      <c r="T69" s="19">
        <f t="shared" si="2"/>
        <v>251458.3</v>
      </c>
      <c r="U69" s="19">
        <v>425040.9</v>
      </c>
      <c r="V69" s="20">
        <f>U69-I69-M69-O69-K69</f>
        <v>-251815.59999999998</v>
      </c>
      <c r="W69" s="20">
        <f t="shared" si="4"/>
        <v>173582.6</v>
      </c>
      <c r="X69" s="20">
        <f t="shared" si="3"/>
        <v>0</v>
      </c>
    </row>
    <row r="70" spans="1:24" ht="216.75" customHeight="1" x14ac:dyDescent="0.25">
      <c r="A70" s="154" t="s">
        <v>147</v>
      </c>
      <c r="B70" s="156" t="s">
        <v>390</v>
      </c>
      <c r="C70" s="158" t="s">
        <v>253</v>
      </c>
      <c r="D70" s="156" t="s">
        <v>347</v>
      </c>
      <c r="E70" s="157">
        <v>43753</v>
      </c>
      <c r="F70" s="157">
        <v>43830</v>
      </c>
      <c r="G70" s="157">
        <v>43753</v>
      </c>
      <c r="H70" s="40">
        <v>43830</v>
      </c>
      <c r="I70" s="79" t="s">
        <v>146</v>
      </c>
      <c r="J70" s="78" t="s">
        <v>146</v>
      </c>
      <c r="K70" s="42" t="s">
        <v>146</v>
      </c>
      <c r="L70" s="42" t="s">
        <v>146</v>
      </c>
      <c r="M70" s="42" t="s">
        <v>146</v>
      </c>
      <c r="N70" s="74" t="s">
        <v>146</v>
      </c>
      <c r="O70" s="42" t="s">
        <v>146</v>
      </c>
      <c r="P70" s="42" t="s">
        <v>146</v>
      </c>
      <c r="Q70" s="32" t="s">
        <v>146</v>
      </c>
      <c r="R70" s="20" t="e">
        <f t="shared" si="1"/>
        <v>#VALUE!</v>
      </c>
      <c r="T70" s="19" t="e">
        <f t="shared" si="2"/>
        <v>#VALUE!</v>
      </c>
      <c r="W70" s="20" t="e">
        <f t="shared" si="4"/>
        <v>#VALUE!</v>
      </c>
      <c r="X70" s="20" t="e">
        <f t="shared" si="3"/>
        <v>#VALUE!</v>
      </c>
    </row>
    <row r="71" spans="1:24" ht="141" customHeight="1" x14ac:dyDescent="0.25">
      <c r="A71" s="154" t="s">
        <v>86</v>
      </c>
      <c r="B71" s="156" t="s">
        <v>391</v>
      </c>
      <c r="C71" s="158" t="s">
        <v>253</v>
      </c>
      <c r="D71" s="156" t="s">
        <v>348</v>
      </c>
      <c r="E71" s="157">
        <v>43474</v>
      </c>
      <c r="F71" s="157">
        <v>43830</v>
      </c>
      <c r="G71" s="157">
        <v>43474</v>
      </c>
      <c r="H71" s="40">
        <v>43830</v>
      </c>
      <c r="I71" s="79" t="s">
        <v>146</v>
      </c>
      <c r="J71" s="78" t="s">
        <v>146</v>
      </c>
      <c r="K71" s="42" t="s">
        <v>146</v>
      </c>
      <c r="L71" s="42" t="s">
        <v>146</v>
      </c>
      <c r="M71" s="42" t="s">
        <v>146</v>
      </c>
      <c r="N71" s="74" t="s">
        <v>146</v>
      </c>
      <c r="O71" s="42" t="s">
        <v>146</v>
      </c>
      <c r="P71" s="42" t="s">
        <v>146</v>
      </c>
      <c r="Q71" s="32" t="s">
        <v>146</v>
      </c>
      <c r="R71" s="20" t="e">
        <f t="shared" si="1"/>
        <v>#VALUE!</v>
      </c>
      <c r="T71" s="19" t="e">
        <f t="shared" si="2"/>
        <v>#VALUE!</v>
      </c>
      <c r="W71" s="20" t="e">
        <f t="shared" si="4"/>
        <v>#VALUE!</v>
      </c>
      <c r="X71" s="20" t="e">
        <f t="shared" si="3"/>
        <v>#VALUE!</v>
      </c>
    </row>
    <row r="72" spans="1:24" ht="144" customHeight="1" x14ac:dyDescent="0.25">
      <c r="A72" s="154" t="s">
        <v>88</v>
      </c>
      <c r="B72" s="156" t="s">
        <v>392</v>
      </c>
      <c r="C72" s="158" t="s">
        <v>253</v>
      </c>
      <c r="D72" s="156" t="s">
        <v>348</v>
      </c>
      <c r="E72" s="157">
        <v>43474</v>
      </c>
      <c r="F72" s="157">
        <v>43830</v>
      </c>
      <c r="G72" s="157">
        <v>43474</v>
      </c>
      <c r="H72" s="40">
        <v>43830</v>
      </c>
      <c r="I72" s="79" t="s">
        <v>146</v>
      </c>
      <c r="J72" s="78" t="s">
        <v>146</v>
      </c>
      <c r="K72" s="42" t="s">
        <v>146</v>
      </c>
      <c r="L72" s="42" t="s">
        <v>146</v>
      </c>
      <c r="M72" s="42" t="s">
        <v>146</v>
      </c>
      <c r="N72" s="74" t="s">
        <v>146</v>
      </c>
      <c r="O72" s="42" t="s">
        <v>146</v>
      </c>
      <c r="P72" s="42" t="s">
        <v>146</v>
      </c>
      <c r="Q72" s="32" t="s">
        <v>146</v>
      </c>
      <c r="R72" s="20" t="e">
        <f t="shared" si="1"/>
        <v>#VALUE!</v>
      </c>
      <c r="T72" s="19" t="e">
        <f t="shared" si="2"/>
        <v>#VALUE!</v>
      </c>
      <c r="W72" s="20" t="e">
        <f t="shared" si="4"/>
        <v>#VALUE!</v>
      </c>
      <c r="X72" s="20" t="e">
        <f t="shared" si="3"/>
        <v>#VALUE!</v>
      </c>
    </row>
    <row r="73" spans="1:24" ht="172.5" customHeight="1" x14ac:dyDescent="0.25">
      <c r="A73" s="154"/>
      <c r="B73" s="156" t="s">
        <v>424</v>
      </c>
      <c r="C73" s="158" t="s">
        <v>253</v>
      </c>
      <c r="D73" s="156" t="s">
        <v>348</v>
      </c>
      <c r="E73" s="157" t="s">
        <v>146</v>
      </c>
      <c r="F73" s="157">
        <v>43495</v>
      </c>
      <c r="G73" s="157" t="s">
        <v>146</v>
      </c>
      <c r="H73" s="157">
        <v>43495</v>
      </c>
      <c r="I73" s="79" t="s">
        <v>146</v>
      </c>
      <c r="J73" s="78" t="s">
        <v>146</v>
      </c>
      <c r="K73" s="42" t="s">
        <v>146</v>
      </c>
      <c r="L73" s="42" t="s">
        <v>146</v>
      </c>
      <c r="M73" s="42" t="s">
        <v>146</v>
      </c>
      <c r="N73" s="74" t="s">
        <v>146</v>
      </c>
      <c r="O73" s="42" t="s">
        <v>146</v>
      </c>
      <c r="P73" s="42" t="s">
        <v>146</v>
      </c>
      <c r="Q73" s="32" t="s">
        <v>146</v>
      </c>
      <c r="R73" s="20" t="e">
        <f t="shared" si="1"/>
        <v>#VALUE!</v>
      </c>
      <c r="T73" s="19" t="e">
        <f t="shared" si="2"/>
        <v>#VALUE!</v>
      </c>
      <c r="W73" s="20" t="e">
        <f t="shared" si="4"/>
        <v>#VALUE!</v>
      </c>
      <c r="X73" s="20" t="e">
        <f t="shared" si="3"/>
        <v>#VALUE!</v>
      </c>
    </row>
    <row r="74" spans="1:24" ht="303.75" customHeight="1" x14ac:dyDescent="0.25">
      <c r="A74" s="154" t="s">
        <v>271</v>
      </c>
      <c r="B74" s="156" t="s">
        <v>393</v>
      </c>
      <c r="C74" s="158" t="s">
        <v>253</v>
      </c>
      <c r="D74" s="156" t="s">
        <v>348</v>
      </c>
      <c r="E74" s="157">
        <v>43466</v>
      </c>
      <c r="F74" s="157">
        <v>43830</v>
      </c>
      <c r="G74" s="157">
        <v>43474</v>
      </c>
      <c r="H74" s="40">
        <v>43830</v>
      </c>
      <c r="I74" s="79">
        <v>0</v>
      </c>
      <c r="J74" s="79">
        <v>0</v>
      </c>
      <c r="K74" s="42">
        <v>44.7</v>
      </c>
      <c r="L74" s="42">
        <v>44.7</v>
      </c>
      <c r="M74" s="42">
        <v>355</v>
      </c>
      <c r="N74" s="75">
        <f>U74-L74-J74</f>
        <v>443.8</v>
      </c>
      <c r="O74" s="42">
        <v>1344.9</v>
      </c>
      <c r="P74" s="42">
        <f>1736.4-J74-L74-N74</f>
        <v>1247.9000000000001</v>
      </c>
      <c r="Q74" s="32" t="s">
        <v>146</v>
      </c>
      <c r="R74" s="20">
        <f t="shared" si="1"/>
        <v>1744.6000000000001</v>
      </c>
      <c r="T74" s="19">
        <f t="shared" si="2"/>
        <v>44.7</v>
      </c>
      <c r="U74" s="19">
        <v>488.5</v>
      </c>
      <c r="W74" s="20">
        <f t="shared" si="4"/>
        <v>443.8</v>
      </c>
      <c r="X74" s="20">
        <f t="shared" si="3"/>
        <v>0</v>
      </c>
    </row>
    <row r="75" spans="1:24" ht="15.75" customHeight="1" x14ac:dyDescent="0.25">
      <c r="A75" s="318" t="s">
        <v>259</v>
      </c>
      <c r="B75" s="319"/>
      <c r="C75" s="319"/>
      <c r="D75" s="319"/>
      <c r="E75" s="319"/>
      <c r="F75" s="319"/>
      <c r="G75" s="319"/>
      <c r="H75" s="320"/>
      <c r="I75" s="79">
        <f t="shared" ref="I75:P75" si="6">I12+I19+I20+I28+I31+I34+I37+I40+I43+I45+I47+I49+I54+I57+I60+I69+I74+I52</f>
        <v>351959.69999999995</v>
      </c>
      <c r="J75" s="79">
        <f t="shared" si="6"/>
        <v>351959.69999999995</v>
      </c>
      <c r="K75" s="79">
        <f t="shared" si="6"/>
        <v>516677.60000000003</v>
      </c>
      <c r="L75" s="79">
        <f t="shared" si="6"/>
        <v>507642.49999999994</v>
      </c>
      <c r="M75" s="79">
        <f t="shared" si="6"/>
        <v>512608.89999999997</v>
      </c>
      <c r="N75" s="79">
        <f t="shared" si="6"/>
        <v>546894.80000000016</v>
      </c>
      <c r="O75" s="79">
        <f t="shared" si="6"/>
        <v>782769</v>
      </c>
      <c r="P75" s="79">
        <f t="shared" si="6"/>
        <v>657185.59999999986</v>
      </c>
      <c r="Q75" s="32"/>
      <c r="R75" s="20">
        <f t="shared" si="1"/>
        <v>2164015.2000000002</v>
      </c>
      <c r="T75" s="20">
        <f>J75+L75+N75</f>
        <v>1406497</v>
      </c>
      <c r="W75" s="20">
        <f t="shared" si="4"/>
        <v>-859602.2</v>
      </c>
      <c r="X75" s="20">
        <f t="shared" si="3"/>
        <v>-1406497</v>
      </c>
    </row>
    <row r="76" spans="1:24" ht="15.75" customHeight="1" x14ac:dyDescent="0.25">
      <c r="A76" s="318" t="s">
        <v>260</v>
      </c>
      <c r="B76" s="319"/>
      <c r="C76" s="319"/>
      <c r="D76" s="319"/>
      <c r="E76" s="319"/>
      <c r="F76" s="319"/>
      <c r="G76" s="319"/>
      <c r="H76" s="320"/>
      <c r="I76" s="79">
        <f t="shared" ref="I76:P76" si="7">I12+I19+I20+I28+I31+I34+I40+I43+I45+I49+I52+I69+I74+I47+I38+I55+I58</f>
        <v>110892.7</v>
      </c>
      <c r="J76" s="79">
        <f t="shared" si="7"/>
        <v>110892.7</v>
      </c>
      <c r="K76" s="79">
        <f t="shared" si="7"/>
        <v>201315.40000000002</v>
      </c>
      <c r="L76" s="79">
        <f t="shared" si="7"/>
        <v>194435.50000000003</v>
      </c>
      <c r="M76" s="79">
        <f t="shared" si="7"/>
        <v>212387.69999999998</v>
      </c>
      <c r="N76" s="79">
        <f t="shared" si="7"/>
        <v>231170.2</v>
      </c>
      <c r="O76" s="79">
        <f t="shared" si="7"/>
        <v>312652.7</v>
      </c>
      <c r="P76" s="79">
        <f t="shared" si="7"/>
        <v>293805.79999999993</v>
      </c>
      <c r="Q76" s="32"/>
      <c r="R76" s="20">
        <f t="shared" si="1"/>
        <v>837248.5</v>
      </c>
      <c r="T76" s="20">
        <f>J76+L76+N76</f>
        <v>536498.4</v>
      </c>
      <c r="W76" s="20">
        <f t="shared" si="4"/>
        <v>-305328.2</v>
      </c>
      <c r="X76" s="20">
        <f t="shared" si="3"/>
        <v>-536498.4</v>
      </c>
    </row>
    <row r="77" spans="1:24" ht="15.75" customHeight="1" x14ac:dyDescent="0.25">
      <c r="A77" s="318" t="s">
        <v>256</v>
      </c>
      <c r="B77" s="319"/>
      <c r="C77" s="319"/>
      <c r="D77" s="319"/>
      <c r="E77" s="319"/>
      <c r="F77" s="319"/>
      <c r="G77" s="319"/>
      <c r="H77" s="320"/>
      <c r="I77" s="79">
        <f t="shared" ref="I77:P77" si="8">I61+I59+I56+I39</f>
        <v>241067</v>
      </c>
      <c r="J77" s="79">
        <f t="shared" si="8"/>
        <v>241067</v>
      </c>
      <c r="K77" s="79">
        <f t="shared" si="8"/>
        <v>315362.2</v>
      </c>
      <c r="L77" s="79">
        <f t="shared" si="8"/>
        <v>313206.99999999994</v>
      </c>
      <c r="M77" s="79">
        <f t="shared" si="8"/>
        <v>300221.2</v>
      </c>
      <c r="N77" s="79">
        <f t="shared" si="8"/>
        <v>315724.60000000009</v>
      </c>
      <c r="O77" s="79">
        <f t="shared" si="8"/>
        <v>470116.3</v>
      </c>
      <c r="P77" s="79">
        <f t="shared" si="8"/>
        <v>363379.79999999987</v>
      </c>
      <c r="Q77" s="32"/>
      <c r="R77" s="20">
        <f t="shared" si="1"/>
        <v>1326766.7</v>
      </c>
      <c r="T77" s="20">
        <f>J77+L77+N77</f>
        <v>869998.60000000009</v>
      </c>
      <c r="W77" s="20">
        <f t="shared" si="4"/>
        <v>-554274</v>
      </c>
      <c r="X77" s="20">
        <f t="shared" si="3"/>
        <v>-869998.60000000009</v>
      </c>
    </row>
    <row r="78" spans="1:24" s="34" customFormat="1" ht="31.15" customHeight="1" x14ac:dyDescent="0.25">
      <c r="A78" s="28"/>
      <c r="B78" s="29" t="s">
        <v>118</v>
      </c>
      <c r="C78" s="30"/>
      <c r="D78" s="30"/>
      <c r="E78" s="31"/>
      <c r="F78" s="31"/>
      <c r="G78" s="31"/>
      <c r="H78" s="31"/>
      <c r="I78" s="32"/>
      <c r="J78" s="32"/>
      <c r="K78" s="32"/>
      <c r="L78" s="32"/>
      <c r="M78" s="32" t="s">
        <v>365</v>
      </c>
      <c r="N78" s="32"/>
      <c r="O78" s="33"/>
      <c r="P78" s="32"/>
      <c r="Q78" s="32"/>
      <c r="R78" s="20" t="e">
        <f t="shared" si="1"/>
        <v>#VALUE!</v>
      </c>
      <c r="S78" s="35" t="e">
        <f>I78+K78+M78+O78</f>
        <v>#VALUE!</v>
      </c>
      <c r="T78" s="19">
        <f t="shared" si="2"/>
        <v>0</v>
      </c>
      <c r="W78" s="20">
        <f t="shared" si="4"/>
        <v>0</v>
      </c>
      <c r="X78" s="20">
        <f t="shared" si="3"/>
        <v>0</v>
      </c>
    </row>
    <row r="79" spans="1:24" ht="180" customHeight="1" x14ac:dyDescent="0.25">
      <c r="A79" s="36" t="s">
        <v>32</v>
      </c>
      <c r="B79" s="37" t="s">
        <v>71</v>
      </c>
      <c r="C79" s="12" t="s">
        <v>253</v>
      </c>
      <c r="D79" s="37" t="s">
        <v>349</v>
      </c>
      <c r="E79" s="39">
        <v>43474</v>
      </c>
      <c r="F79" s="39">
        <v>43830</v>
      </c>
      <c r="G79" s="39">
        <v>43474</v>
      </c>
      <c r="H79" s="40">
        <v>43830</v>
      </c>
      <c r="I79" s="18" t="s">
        <v>146</v>
      </c>
      <c r="J79" s="18" t="s">
        <v>146</v>
      </c>
      <c r="K79" s="18" t="s">
        <v>146</v>
      </c>
      <c r="L79" s="18" t="s">
        <v>146</v>
      </c>
      <c r="M79" s="18" t="s">
        <v>146</v>
      </c>
      <c r="N79" s="18" t="s">
        <v>146</v>
      </c>
      <c r="O79" s="18" t="s">
        <v>146</v>
      </c>
      <c r="P79" s="18" t="s">
        <v>146</v>
      </c>
      <c r="Q79" s="18" t="s">
        <v>146</v>
      </c>
      <c r="R79" s="20" t="e">
        <f t="shared" si="1"/>
        <v>#VALUE!</v>
      </c>
      <c r="T79" s="19" t="e">
        <f t="shared" si="2"/>
        <v>#VALUE!</v>
      </c>
      <c r="W79" s="20" t="e">
        <f t="shared" si="4"/>
        <v>#VALUE!</v>
      </c>
      <c r="X79" s="20" t="e">
        <f t="shared" si="3"/>
        <v>#VALUE!</v>
      </c>
    </row>
    <row r="80" spans="1:24" ht="201.75" customHeight="1" x14ac:dyDescent="0.25">
      <c r="A80" s="36" t="s">
        <v>33</v>
      </c>
      <c r="B80" s="37" t="s">
        <v>394</v>
      </c>
      <c r="C80" s="12" t="s">
        <v>253</v>
      </c>
      <c r="D80" s="37" t="s">
        <v>350</v>
      </c>
      <c r="E80" s="39">
        <v>43474</v>
      </c>
      <c r="F80" s="39">
        <v>43830</v>
      </c>
      <c r="G80" s="39">
        <v>43474</v>
      </c>
      <c r="H80" s="40">
        <v>43830</v>
      </c>
      <c r="I80" s="18" t="s">
        <v>146</v>
      </c>
      <c r="J80" s="18" t="s">
        <v>146</v>
      </c>
      <c r="K80" s="18" t="s">
        <v>146</v>
      </c>
      <c r="L80" s="18" t="s">
        <v>146</v>
      </c>
      <c r="M80" s="18" t="s">
        <v>146</v>
      </c>
      <c r="N80" s="18" t="s">
        <v>146</v>
      </c>
      <c r="O80" s="18" t="s">
        <v>146</v>
      </c>
      <c r="P80" s="18" t="s">
        <v>146</v>
      </c>
      <c r="Q80" s="18" t="s">
        <v>146</v>
      </c>
      <c r="R80" s="20" t="e">
        <f t="shared" si="1"/>
        <v>#VALUE!</v>
      </c>
      <c r="T80" s="19" t="e">
        <f t="shared" si="2"/>
        <v>#VALUE!</v>
      </c>
      <c r="W80" s="20" t="e">
        <f t="shared" si="4"/>
        <v>#VALUE!</v>
      </c>
      <c r="X80" s="20" t="e">
        <f t="shared" ref="X80:X126" si="9">W80-N80</f>
        <v>#VALUE!</v>
      </c>
    </row>
    <row r="81" spans="1:24" s="152" customFormat="1" ht="162" customHeight="1" x14ac:dyDescent="0.25">
      <c r="A81" s="154" t="s">
        <v>191</v>
      </c>
      <c r="B81" s="156" t="s">
        <v>275</v>
      </c>
      <c r="C81" s="158"/>
      <c r="D81" s="156" t="s">
        <v>373</v>
      </c>
      <c r="E81" s="195" t="s">
        <v>374</v>
      </c>
      <c r="F81" s="157">
        <v>43830</v>
      </c>
      <c r="G81" s="157">
        <v>43644</v>
      </c>
      <c r="H81" s="40">
        <v>43830</v>
      </c>
      <c r="I81" s="153">
        <v>1</v>
      </c>
      <c r="J81" s="153">
        <v>0</v>
      </c>
      <c r="K81" s="153">
        <v>1</v>
      </c>
      <c r="L81" s="153">
        <v>0</v>
      </c>
      <c r="M81" s="186">
        <v>72.900000000000006</v>
      </c>
      <c r="N81" s="78">
        <v>105.9</v>
      </c>
      <c r="O81" s="153">
        <v>212.1</v>
      </c>
      <c r="P81" s="153">
        <f>287-'План реализации'!J81-'План реализации'!L81-'План реализации'!N81</f>
        <v>181.1</v>
      </c>
      <c r="Q81" s="153"/>
      <c r="R81" s="20">
        <f t="shared" si="1"/>
        <v>287</v>
      </c>
      <c r="T81" s="152">
        <f t="shared" si="2"/>
        <v>0</v>
      </c>
      <c r="U81" s="152">
        <v>105.9</v>
      </c>
      <c r="W81" s="20">
        <f>U81-J81-L81</f>
        <v>105.9</v>
      </c>
      <c r="X81" s="20">
        <f>W81-N81</f>
        <v>0</v>
      </c>
    </row>
    <row r="82" spans="1:24" s="152" customFormat="1" ht="182.25" customHeight="1" x14ac:dyDescent="0.25">
      <c r="A82" s="154" t="s">
        <v>194</v>
      </c>
      <c r="B82" s="156" t="s">
        <v>369</v>
      </c>
      <c r="C82" s="158"/>
      <c r="D82" s="156" t="s">
        <v>375</v>
      </c>
      <c r="E82" s="157">
        <v>43644</v>
      </c>
      <c r="F82" s="157">
        <v>43830</v>
      </c>
      <c r="G82" s="157">
        <v>43644</v>
      </c>
      <c r="H82" s="40">
        <v>43830</v>
      </c>
      <c r="I82" s="153">
        <v>0</v>
      </c>
      <c r="J82" s="153">
        <v>0</v>
      </c>
      <c r="K82" s="196">
        <v>0</v>
      </c>
      <c r="L82" s="196">
        <v>0</v>
      </c>
      <c r="M82" s="187">
        <v>363.4</v>
      </c>
      <c r="N82" s="197">
        <v>363.4</v>
      </c>
      <c r="O82" s="153">
        <v>205.6</v>
      </c>
      <c r="P82" s="153">
        <f>569-J82-L82-N82</f>
        <v>205.60000000000002</v>
      </c>
      <c r="Q82" s="153"/>
      <c r="R82" s="20">
        <f t="shared" si="1"/>
        <v>569</v>
      </c>
      <c r="T82" s="152">
        <f t="shared" si="2"/>
        <v>0</v>
      </c>
      <c r="U82" s="152">
        <v>363.4</v>
      </c>
      <c r="W82" s="20">
        <f t="shared" si="4"/>
        <v>363.4</v>
      </c>
      <c r="X82" s="20">
        <f t="shared" si="9"/>
        <v>0</v>
      </c>
    </row>
    <row r="83" spans="1:24" s="152" customFormat="1" ht="160.5" customHeight="1" x14ac:dyDescent="0.25">
      <c r="A83" s="154" t="s">
        <v>320</v>
      </c>
      <c r="B83" s="156" t="s">
        <v>376</v>
      </c>
      <c r="C83" s="158"/>
      <c r="D83" s="156" t="s">
        <v>379</v>
      </c>
      <c r="E83" s="157">
        <v>43644</v>
      </c>
      <c r="F83" s="157">
        <v>43830</v>
      </c>
      <c r="G83" s="157">
        <v>43644</v>
      </c>
      <c r="H83" s="40">
        <v>43830</v>
      </c>
      <c r="I83" s="153">
        <v>0</v>
      </c>
      <c r="J83" s="153">
        <f>-L83-N83</f>
        <v>0</v>
      </c>
      <c r="K83" s="153">
        <v>0</v>
      </c>
      <c r="L83" s="153">
        <v>0</v>
      </c>
      <c r="M83" s="201">
        <v>0</v>
      </c>
      <c r="N83" s="153">
        <v>0</v>
      </c>
      <c r="O83" s="153">
        <v>7</v>
      </c>
      <c r="P83" s="153">
        <f>5</f>
        <v>5</v>
      </c>
      <c r="Q83" s="153"/>
      <c r="R83" s="20">
        <f t="shared" si="1"/>
        <v>7</v>
      </c>
      <c r="T83" s="152">
        <f t="shared" si="2"/>
        <v>0</v>
      </c>
      <c r="W83" s="20">
        <f t="shared" si="4"/>
        <v>0</v>
      </c>
      <c r="X83" s="20">
        <f t="shared" si="9"/>
        <v>0</v>
      </c>
    </row>
    <row r="84" spans="1:24" s="152" customFormat="1" ht="172.5" customHeight="1" x14ac:dyDescent="0.25">
      <c r="A84" s="154" t="s">
        <v>319</v>
      </c>
      <c r="B84" s="156" t="s">
        <v>377</v>
      </c>
      <c r="C84" s="158"/>
      <c r="D84" s="156" t="s">
        <v>378</v>
      </c>
      <c r="E84" s="157">
        <v>43644</v>
      </c>
      <c r="F84" s="157">
        <v>43830</v>
      </c>
      <c r="G84" s="157">
        <v>43644</v>
      </c>
      <c r="H84" s="40">
        <v>43830</v>
      </c>
      <c r="I84" s="153">
        <v>0</v>
      </c>
      <c r="J84" s="153">
        <v>0</v>
      </c>
      <c r="K84" s="153">
        <v>0</v>
      </c>
      <c r="L84" s="153">
        <v>0</v>
      </c>
      <c r="M84" s="201">
        <v>3</v>
      </c>
      <c r="N84" s="153">
        <v>3</v>
      </c>
      <c r="O84" s="153">
        <v>79</v>
      </c>
      <c r="P84" s="153">
        <f>57.8-J84-L84-N84</f>
        <v>54.8</v>
      </c>
      <c r="Q84" s="153"/>
      <c r="R84" s="20">
        <f t="shared" si="1"/>
        <v>82</v>
      </c>
      <c r="T84" s="152">
        <f t="shared" si="2"/>
        <v>0</v>
      </c>
      <c r="U84" s="152">
        <v>3</v>
      </c>
      <c r="W84" s="20">
        <f t="shared" si="4"/>
        <v>3</v>
      </c>
      <c r="X84" s="20">
        <f t="shared" si="9"/>
        <v>0</v>
      </c>
    </row>
    <row r="85" spans="1:24" s="152" customFormat="1" ht="168.75" customHeight="1" x14ac:dyDescent="0.25">
      <c r="A85" s="154" t="s">
        <v>321</v>
      </c>
      <c r="B85" s="156" t="s">
        <v>370</v>
      </c>
      <c r="C85" s="158"/>
      <c r="D85" s="156" t="s">
        <v>380</v>
      </c>
      <c r="E85" s="157">
        <v>43644</v>
      </c>
      <c r="F85" s="157">
        <v>43830</v>
      </c>
      <c r="G85" s="157">
        <v>43644</v>
      </c>
      <c r="H85" s="40">
        <v>43830</v>
      </c>
      <c r="I85" s="153">
        <v>0</v>
      </c>
      <c r="J85" s="153">
        <v>0</v>
      </c>
      <c r="K85" s="153">
        <v>0</v>
      </c>
      <c r="L85" s="153">
        <v>0</v>
      </c>
      <c r="M85" s="186">
        <v>20.399999999999999</v>
      </c>
      <c r="N85" s="153">
        <v>30.1</v>
      </c>
      <c r="O85" s="153">
        <v>37.6</v>
      </c>
      <c r="P85" s="153">
        <f>57.7-J85-L85-N85</f>
        <v>27.6</v>
      </c>
      <c r="Q85" s="153"/>
      <c r="R85" s="20">
        <f t="shared" si="1"/>
        <v>58</v>
      </c>
      <c r="T85" s="152">
        <f t="shared" si="2"/>
        <v>0</v>
      </c>
      <c r="U85" s="152">
        <v>30.1</v>
      </c>
      <c r="W85" s="20">
        <f t="shared" si="4"/>
        <v>30.1</v>
      </c>
      <c r="X85" s="20">
        <f t="shared" si="9"/>
        <v>0</v>
      </c>
    </row>
    <row r="86" spans="1:24" s="152" customFormat="1" ht="182.25" customHeight="1" x14ac:dyDescent="0.25">
      <c r="A86" s="154" t="s">
        <v>323</v>
      </c>
      <c r="B86" s="156" t="s">
        <v>381</v>
      </c>
      <c r="C86" s="158"/>
      <c r="D86" s="156" t="s">
        <v>382</v>
      </c>
      <c r="E86" s="157">
        <v>43644</v>
      </c>
      <c r="F86" s="157">
        <v>43830</v>
      </c>
      <c r="G86" s="157">
        <v>43644</v>
      </c>
      <c r="H86" s="40">
        <v>43830</v>
      </c>
      <c r="I86" s="153">
        <v>0</v>
      </c>
      <c r="J86" s="153">
        <v>0</v>
      </c>
      <c r="K86" s="131">
        <v>0</v>
      </c>
      <c r="L86" s="197">
        <v>0</v>
      </c>
      <c r="M86" s="202">
        <v>0</v>
      </c>
      <c r="N86" s="197">
        <v>0</v>
      </c>
      <c r="O86" s="196">
        <v>9</v>
      </c>
      <c r="P86" s="153">
        <f>9-J86-L86-N86</f>
        <v>9</v>
      </c>
      <c r="Q86" s="153"/>
      <c r="R86" s="20">
        <f t="shared" si="1"/>
        <v>9</v>
      </c>
      <c r="T86" s="152">
        <f t="shared" si="2"/>
        <v>0</v>
      </c>
      <c r="W86" s="20">
        <f t="shared" si="4"/>
        <v>0</v>
      </c>
      <c r="X86" s="20">
        <f t="shared" si="9"/>
        <v>0</v>
      </c>
    </row>
    <row r="87" spans="1:24" s="152" customFormat="1" ht="171.75" customHeight="1" x14ac:dyDescent="0.25">
      <c r="A87" s="154" t="s">
        <v>325</v>
      </c>
      <c r="B87" s="156" t="s">
        <v>371</v>
      </c>
      <c r="C87" s="158"/>
      <c r="D87" s="156" t="s">
        <v>383</v>
      </c>
      <c r="E87" s="157">
        <v>43644</v>
      </c>
      <c r="F87" s="157">
        <v>43830</v>
      </c>
      <c r="G87" s="157">
        <v>43644</v>
      </c>
      <c r="H87" s="40">
        <v>43830</v>
      </c>
      <c r="I87" s="153">
        <v>0</v>
      </c>
      <c r="J87" s="153">
        <v>0</v>
      </c>
      <c r="K87" s="153">
        <v>0</v>
      </c>
      <c r="L87" s="153">
        <v>0</v>
      </c>
      <c r="M87" s="201">
        <v>0</v>
      </c>
      <c r="N87" s="153">
        <v>0</v>
      </c>
      <c r="O87" s="153">
        <v>64</v>
      </c>
      <c r="P87" s="153">
        <f>59-J87-L87-N87</f>
        <v>59</v>
      </c>
      <c r="Q87" s="153"/>
      <c r="R87" s="20">
        <f t="shared" si="1"/>
        <v>64</v>
      </c>
      <c r="T87" s="152">
        <f t="shared" si="2"/>
        <v>0</v>
      </c>
      <c r="W87" s="20">
        <f t="shared" si="4"/>
        <v>0</v>
      </c>
      <c r="X87" s="20">
        <f t="shared" si="9"/>
        <v>0</v>
      </c>
    </row>
    <row r="88" spans="1:24" s="152" customFormat="1" ht="182.25" customHeight="1" x14ac:dyDescent="0.25">
      <c r="A88" s="154" t="s">
        <v>327</v>
      </c>
      <c r="B88" s="156" t="s">
        <v>372</v>
      </c>
      <c r="C88" s="158"/>
      <c r="D88" s="156" t="s">
        <v>384</v>
      </c>
      <c r="E88" s="157">
        <v>43644</v>
      </c>
      <c r="F88" s="157">
        <v>43830</v>
      </c>
      <c r="G88" s="157">
        <v>43644</v>
      </c>
      <c r="H88" s="40">
        <v>43830</v>
      </c>
      <c r="I88" s="153">
        <v>0</v>
      </c>
      <c r="J88" s="153">
        <v>0</v>
      </c>
      <c r="K88" s="153">
        <v>0</v>
      </c>
      <c r="L88" s="153">
        <v>0</v>
      </c>
      <c r="M88" s="201">
        <v>0</v>
      </c>
      <c r="N88" s="153">
        <v>0</v>
      </c>
      <c r="O88" s="153">
        <v>118</v>
      </c>
      <c r="P88" s="153">
        <f>20-J88-L88-N88</f>
        <v>20</v>
      </c>
      <c r="Q88" s="153"/>
      <c r="R88" s="20">
        <f t="shared" si="1"/>
        <v>118</v>
      </c>
      <c r="T88" s="152">
        <f t="shared" si="2"/>
        <v>0</v>
      </c>
      <c r="W88" s="20">
        <f t="shared" si="4"/>
        <v>0</v>
      </c>
      <c r="X88" s="20">
        <f t="shared" si="9"/>
        <v>0</v>
      </c>
    </row>
    <row r="89" spans="1:24" ht="96.75" customHeight="1" x14ac:dyDescent="0.25">
      <c r="A89" s="154" t="s">
        <v>50</v>
      </c>
      <c r="B89" s="156" t="s">
        <v>73</v>
      </c>
      <c r="C89" s="158" t="s">
        <v>253</v>
      </c>
      <c r="D89" s="156" t="s">
        <v>351</v>
      </c>
      <c r="E89" s="157">
        <v>43474</v>
      </c>
      <c r="F89" s="157">
        <v>43830</v>
      </c>
      <c r="G89" s="157">
        <v>43474</v>
      </c>
      <c r="H89" s="40">
        <v>43830</v>
      </c>
      <c r="I89" s="153" t="s">
        <v>146</v>
      </c>
      <c r="J89" s="153" t="s">
        <v>146</v>
      </c>
      <c r="K89" s="18" t="s">
        <v>146</v>
      </c>
      <c r="L89" s="18" t="s">
        <v>146</v>
      </c>
      <c r="M89" s="18" t="s">
        <v>146</v>
      </c>
      <c r="N89" s="18" t="s">
        <v>146</v>
      </c>
      <c r="O89" s="18" t="s">
        <v>146</v>
      </c>
      <c r="P89" s="18" t="s">
        <v>146</v>
      </c>
      <c r="Q89" s="18" t="s">
        <v>146</v>
      </c>
      <c r="R89" s="20" t="e">
        <f t="shared" si="1"/>
        <v>#VALUE!</v>
      </c>
      <c r="T89" s="19" t="e">
        <f t="shared" si="2"/>
        <v>#VALUE!</v>
      </c>
      <c r="W89" s="20" t="e">
        <f t="shared" si="4"/>
        <v>#VALUE!</v>
      </c>
      <c r="X89" s="20" t="e">
        <f t="shared" si="9"/>
        <v>#VALUE!</v>
      </c>
    </row>
    <row r="90" spans="1:24" ht="189.75" customHeight="1" x14ac:dyDescent="0.25">
      <c r="A90" s="154" t="s">
        <v>52</v>
      </c>
      <c r="B90" s="156" t="s">
        <v>395</v>
      </c>
      <c r="C90" s="158" t="s">
        <v>253</v>
      </c>
      <c r="D90" s="156" t="s">
        <v>351</v>
      </c>
      <c r="E90" s="157">
        <v>43474</v>
      </c>
      <c r="F90" s="157">
        <v>43830</v>
      </c>
      <c r="G90" s="157">
        <v>43474</v>
      </c>
      <c r="H90" s="40">
        <v>43830</v>
      </c>
      <c r="I90" s="153" t="s">
        <v>146</v>
      </c>
      <c r="J90" s="153" t="s">
        <v>146</v>
      </c>
      <c r="K90" s="18" t="s">
        <v>146</v>
      </c>
      <c r="L90" s="18" t="s">
        <v>146</v>
      </c>
      <c r="M90" s="18" t="s">
        <v>146</v>
      </c>
      <c r="N90" s="18" t="s">
        <v>146</v>
      </c>
      <c r="O90" s="18" t="s">
        <v>146</v>
      </c>
      <c r="P90" s="18" t="s">
        <v>146</v>
      </c>
      <c r="Q90" s="18" t="s">
        <v>146</v>
      </c>
      <c r="R90" s="20" t="e">
        <f t="shared" ref="R90:R126" si="10">I90+K90+M90+O90</f>
        <v>#VALUE!</v>
      </c>
      <c r="T90" s="19" t="e">
        <f t="shared" si="2"/>
        <v>#VALUE!</v>
      </c>
      <c r="W90" s="20" t="e">
        <f t="shared" si="4"/>
        <v>#VALUE!</v>
      </c>
      <c r="X90" s="20" t="e">
        <f t="shared" si="9"/>
        <v>#VALUE!</v>
      </c>
    </row>
    <row r="91" spans="1:24" ht="159" customHeight="1" x14ac:dyDescent="0.25">
      <c r="A91" s="36" t="s">
        <v>54</v>
      </c>
      <c r="B91" s="37" t="s">
        <v>75</v>
      </c>
      <c r="C91" s="12" t="s">
        <v>253</v>
      </c>
      <c r="D91" s="37" t="s">
        <v>351</v>
      </c>
      <c r="E91" s="39">
        <v>43474</v>
      </c>
      <c r="F91" s="39">
        <v>43830</v>
      </c>
      <c r="G91" s="39">
        <v>43474</v>
      </c>
      <c r="H91" s="40">
        <v>43830</v>
      </c>
      <c r="I91" s="18" t="s">
        <v>146</v>
      </c>
      <c r="J91" s="18" t="s">
        <v>146</v>
      </c>
      <c r="K91" s="18" t="s">
        <v>146</v>
      </c>
      <c r="L91" s="18" t="s">
        <v>146</v>
      </c>
      <c r="M91" s="18" t="s">
        <v>146</v>
      </c>
      <c r="N91" s="18" t="s">
        <v>146</v>
      </c>
      <c r="O91" s="18" t="s">
        <v>146</v>
      </c>
      <c r="P91" s="18" t="s">
        <v>146</v>
      </c>
      <c r="Q91" s="18" t="s">
        <v>146</v>
      </c>
      <c r="R91" s="20" t="e">
        <f t="shared" si="10"/>
        <v>#VALUE!</v>
      </c>
      <c r="T91" s="19" t="e">
        <f t="shared" ref="T91:T126" si="11">J91+L91</f>
        <v>#VALUE!</v>
      </c>
      <c r="W91" s="20" t="e">
        <f t="shared" si="4"/>
        <v>#VALUE!</v>
      </c>
      <c r="X91" s="20" t="e">
        <f t="shared" si="9"/>
        <v>#VALUE!</v>
      </c>
    </row>
    <row r="92" spans="1:24" ht="94.5" x14ac:dyDescent="0.25">
      <c r="A92" s="36" t="s">
        <v>56</v>
      </c>
      <c r="B92" s="37" t="s">
        <v>396</v>
      </c>
      <c r="C92" s="12" t="s">
        <v>253</v>
      </c>
      <c r="D92" s="37" t="s">
        <v>351</v>
      </c>
      <c r="E92" s="39">
        <v>43474</v>
      </c>
      <c r="F92" s="39">
        <v>43830</v>
      </c>
      <c r="G92" s="39">
        <v>43474</v>
      </c>
      <c r="H92" s="40">
        <v>43830</v>
      </c>
      <c r="I92" s="18" t="s">
        <v>146</v>
      </c>
      <c r="J92" s="18" t="s">
        <v>146</v>
      </c>
      <c r="K92" s="18" t="s">
        <v>146</v>
      </c>
      <c r="L92" s="18" t="s">
        <v>146</v>
      </c>
      <c r="M92" s="18" t="s">
        <v>146</v>
      </c>
      <c r="N92" s="18" t="s">
        <v>146</v>
      </c>
      <c r="O92" s="18" t="s">
        <v>146</v>
      </c>
      <c r="P92" s="18" t="s">
        <v>146</v>
      </c>
      <c r="Q92" s="18" t="s">
        <v>146</v>
      </c>
      <c r="R92" s="20" t="e">
        <f t="shared" si="10"/>
        <v>#VALUE!</v>
      </c>
      <c r="T92" s="19" t="e">
        <f t="shared" si="11"/>
        <v>#VALUE!</v>
      </c>
      <c r="W92" s="20" t="e">
        <f t="shared" si="4"/>
        <v>#VALUE!</v>
      </c>
      <c r="X92" s="20" t="e">
        <f t="shared" si="9"/>
        <v>#VALUE!</v>
      </c>
    </row>
    <row r="93" spans="1:24" ht="94.5" customHeight="1" x14ac:dyDescent="0.25">
      <c r="A93" s="38"/>
      <c r="B93" s="37" t="s">
        <v>425</v>
      </c>
      <c r="C93" s="12" t="s">
        <v>253</v>
      </c>
      <c r="D93" s="37" t="s">
        <v>351</v>
      </c>
      <c r="E93" s="12" t="s">
        <v>146</v>
      </c>
      <c r="F93" s="157" t="s">
        <v>405</v>
      </c>
      <c r="G93" s="39" t="s">
        <v>146</v>
      </c>
      <c r="H93" s="157" t="s">
        <v>448</v>
      </c>
      <c r="I93" s="18" t="s">
        <v>146</v>
      </c>
      <c r="J93" s="18" t="s">
        <v>146</v>
      </c>
      <c r="K93" s="18" t="s">
        <v>146</v>
      </c>
      <c r="L93" s="18" t="s">
        <v>146</v>
      </c>
      <c r="M93" s="18" t="s">
        <v>146</v>
      </c>
      <c r="N93" s="18" t="s">
        <v>146</v>
      </c>
      <c r="O93" s="18" t="s">
        <v>146</v>
      </c>
      <c r="P93" s="18" t="s">
        <v>146</v>
      </c>
      <c r="Q93" s="18" t="s">
        <v>146</v>
      </c>
      <c r="R93" s="20" t="e">
        <f t="shared" si="10"/>
        <v>#VALUE!</v>
      </c>
      <c r="T93" s="19" t="e">
        <f t="shared" si="11"/>
        <v>#VALUE!</v>
      </c>
      <c r="W93" s="20" t="e">
        <f t="shared" si="4"/>
        <v>#VALUE!</v>
      </c>
      <c r="X93" s="20" t="e">
        <f t="shared" si="9"/>
        <v>#VALUE!</v>
      </c>
    </row>
    <row r="94" spans="1:24" ht="120" customHeight="1" x14ac:dyDescent="0.25">
      <c r="A94" s="36" t="s">
        <v>58</v>
      </c>
      <c r="B94" s="37" t="s">
        <v>77</v>
      </c>
      <c r="C94" s="12" t="s">
        <v>253</v>
      </c>
      <c r="D94" s="37" t="s">
        <v>351</v>
      </c>
      <c r="E94" s="39">
        <v>43474</v>
      </c>
      <c r="F94" s="39">
        <v>43830</v>
      </c>
      <c r="G94" s="39">
        <v>43474</v>
      </c>
      <c r="H94" s="40">
        <v>43830</v>
      </c>
      <c r="I94" s="18" t="s">
        <v>146</v>
      </c>
      <c r="J94" s="18" t="s">
        <v>146</v>
      </c>
      <c r="K94" s="18" t="s">
        <v>146</v>
      </c>
      <c r="L94" s="18" t="s">
        <v>146</v>
      </c>
      <c r="M94" s="18" t="s">
        <v>146</v>
      </c>
      <c r="N94" s="18" t="s">
        <v>146</v>
      </c>
      <c r="O94" s="18" t="s">
        <v>146</v>
      </c>
      <c r="P94" s="18" t="s">
        <v>146</v>
      </c>
      <c r="Q94" s="18" t="s">
        <v>146</v>
      </c>
      <c r="R94" s="20" t="e">
        <f t="shared" si="10"/>
        <v>#VALUE!</v>
      </c>
      <c r="T94" s="19" t="e">
        <f t="shared" si="11"/>
        <v>#VALUE!</v>
      </c>
      <c r="W94" s="20" t="e">
        <f t="shared" si="4"/>
        <v>#VALUE!</v>
      </c>
      <c r="X94" s="20" t="e">
        <f t="shared" si="9"/>
        <v>#VALUE!</v>
      </c>
    </row>
    <row r="95" spans="1:24" ht="102.75" customHeight="1" x14ac:dyDescent="0.25">
      <c r="A95" s="154" t="s">
        <v>459</v>
      </c>
      <c r="B95" s="156" t="s">
        <v>305</v>
      </c>
      <c r="C95" s="212" t="s">
        <v>253</v>
      </c>
      <c r="D95" s="156" t="s">
        <v>351</v>
      </c>
      <c r="E95" s="157">
        <v>43474</v>
      </c>
      <c r="F95" s="157">
        <v>43830</v>
      </c>
      <c r="G95" s="157">
        <v>43474</v>
      </c>
      <c r="H95" s="40">
        <v>43830</v>
      </c>
      <c r="I95" s="77" t="s">
        <v>146</v>
      </c>
      <c r="J95" s="77" t="s">
        <v>146</v>
      </c>
      <c r="K95" s="77" t="s">
        <v>146</v>
      </c>
      <c r="L95" s="77" t="s">
        <v>146</v>
      </c>
      <c r="M95" s="77" t="s">
        <v>146</v>
      </c>
      <c r="N95" s="77" t="s">
        <v>146</v>
      </c>
      <c r="O95" s="77" t="s">
        <v>146</v>
      </c>
      <c r="P95" s="77" t="s">
        <v>146</v>
      </c>
      <c r="Q95" s="77" t="s">
        <v>146</v>
      </c>
      <c r="R95" s="20" t="e">
        <f t="shared" si="10"/>
        <v>#VALUE!</v>
      </c>
      <c r="T95" s="19" t="e">
        <f t="shared" si="11"/>
        <v>#VALUE!</v>
      </c>
      <c r="W95" s="20" t="e">
        <f t="shared" si="4"/>
        <v>#VALUE!</v>
      </c>
      <c r="X95" s="20" t="e">
        <f t="shared" si="9"/>
        <v>#VALUE!</v>
      </c>
    </row>
    <row r="96" spans="1:24" ht="206.25" customHeight="1" x14ac:dyDescent="0.25">
      <c r="A96" s="36" t="s">
        <v>255</v>
      </c>
      <c r="B96" s="37" t="s">
        <v>397</v>
      </c>
      <c r="C96" s="12" t="s">
        <v>253</v>
      </c>
      <c r="D96" s="37" t="s">
        <v>351</v>
      </c>
      <c r="E96" s="39">
        <v>43474</v>
      </c>
      <c r="F96" s="39">
        <v>43830</v>
      </c>
      <c r="G96" s="39">
        <v>43474</v>
      </c>
      <c r="H96" s="40">
        <v>43830</v>
      </c>
      <c r="I96" s="18" t="s">
        <v>146</v>
      </c>
      <c r="J96" s="18" t="s">
        <v>146</v>
      </c>
      <c r="K96" s="18" t="s">
        <v>146</v>
      </c>
      <c r="L96" s="18" t="s">
        <v>146</v>
      </c>
      <c r="M96" s="18" t="s">
        <v>146</v>
      </c>
      <c r="N96" s="18" t="s">
        <v>146</v>
      </c>
      <c r="O96" s="18" t="s">
        <v>146</v>
      </c>
      <c r="P96" s="18" t="s">
        <v>146</v>
      </c>
      <c r="Q96" s="18" t="s">
        <v>146</v>
      </c>
      <c r="R96" s="20" t="e">
        <f t="shared" si="10"/>
        <v>#VALUE!</v>
      </c>
      <c r="T96" s="19" t="e">
        <f t="shared" si="11"/>
        <v>#VALUE!</v>
      </c>
      <c r="W96" s="20" t="e">
        <f t="shared" si="4"/>
        <v>#VALUE!</v>
      </c>
      <c r="X96" s="20" t="e">
        <f t="shared" si="9"/>
        <v>#VALUE!</v>
      </c>
    </row>
    <row r="97" spans="1:24" ht="98.25" customHeight="1" x14ac:dyDescent="0.25">
      <c r="A97" s="36" t="s">
        <v>80</v>
      </c>
      <c r="B97" s="37" t="s">
        <v>81</v>
      </c>
      <c r="C97" s="12" t="s">
        <v>253</v>
      </c>
      <c r="D97" s="37" t="s">
        <v>351</v>
      </c>
      <c r="E97" s="39">
        <v>43474</v>
      </c>
      <c r="F97" s="39">
        <v>43830</v>
      </c>
      <c r="G97" s="39">
        <v>43474</v>
      </c>
      <c r="H97" s="40">
        <v>43830</v>
      </c>
      <c r="I97" s="18" t="s">
        <v>146</v>
      </c>
      <c r="J97" s="18" t="s">
        <v>146</v>
      </c>
      <c r="K97" s="18" t="s">
        <v>146</v>
      </c>
      <c r="L97" s="18" t="s">
        <v>146</v>
      </c>
      <c r="M97" s="18" t="s">
        <v>146</v>
      </c>
      <c r="N97" s="18" t="s">
        <v>146</v>
      </c>
      <c r="O97" s="18" t="s">
        <v>146</v>
      </c>
      <c r="P97" s="18" t="s">
        <v>146</v>
      </c>
      <c r="Q97" s="18" t="s">
        <v>146</v>
      </c>
      <c r="R97" s="20" t="e">
        <f t="shared" si="10"/>
        <v>#VALUE!</v>
      </c>
      <c r="T97" s="19" t="e">
        <f t="shared" si="11"/>
        <v>#VALUE!</v>
      </c>
      <c r="W97" s="20" t="e">
        <f t="shared" si="4"/>
        <v>#VALUE!</v>
      </c>
      <c r="X97" s="20" t="e">
        <f t="shared" si="9"/>
        <v>#VALUE!</v>
      </c>
    </row>
    <row r="98" spans="1:24" ht="150" customHeight="1" x14ac:dyDescent="0.25">
      <c r="A98" s="154" t="s">
        <v>458</v>
      </c>
      <c r="B98" s="156" t="s">
        <v>398</v>
      </c>
      <c r="C98" s="212" t="s">
        <v>253</v>
      </c>
      <c r="D98" s="156" t="s">
        <v>351</v>
      </c>
      <c r="E98" s="157">
        <v>43474</v>
      </c>
      <c r="F98" s="157">
        <v>43830</v>
      </c>
      <c r="G98" s="157">
        <v>43474</v>
      </c>
      <c r="H98" s="40">
        <v>43830</v>
      </c>
      <c r="I98" s="77" t="s">
        <v>146</v>
      </c>
      <c r="J98" s="77" t="s">
        <v>146</v>
      </c>
      <c r="K98" s="77" t="s">
        <v>146</v>
      </c>
      <c r="L98" s="77" t="s">
        <v>146</v>
      </c>
      <c r="M98" s="77" t="s">
        <v>146</v>
      </c>
      <c r="N98" s="77" t="s">
        <v>146</v>
      </c>
      <c r="O98" s="77" t="s">
        <v>146</v>
      </c>
      <c r="P98" s="77" t="s">
        <v>146</v>
      </c>
      <c r="Q98" s="77" t="s">
        <v>146</v>
      </c>
      <c r="R98" s="20" t="e">
        <f t="shared" si="10"/>
        <v>#VALUE!</v>
      </c>
      <c r="T98" s="19" t="e">
        <f t="shared" si="11"/>
        <v>#VALUE!</v>
      </c>
      <c r="W98" s="20" t="e">
        <f t="shared" si="4"/>
        <v>#VALUE!</v>
      </c>
      <c r="X98" s="20" t="e">
        <f t="shared" si="9"/>
        <v>#VALUE!</v>
      </c>
    </row>
    <row r="99" spans="1:24" ht="106.5" customHeight="1" x14ac:dyDescent="0.25">
      <c r="A99" s="36" t="s">
        <v>93</v>
      </c>
      <c r="B99" s="37" t="s">
        <v>83</v>
      </c>
      <c r="C99" s="12" t="s">
        <v>253</v>
      </c>
      <c r="D99" s="37" t="s">
        <v>351</v>
      </c>
      <c r="E99" s="39">
        <v>43474</v>
      </c>
      <c r="F99" s="39">
        <v>43830</v>
      </c>
      <c r="G99" s="39">
        <v>43474</v>
      </c>
      <c r="H99" s="40">
        <v>43830</v>
      </c>
      <c r="I99" s="18" t="s">
        <v>146</v>
      </c>
      <c r="J99" s="18" t="s">
        <v>146</v>
      </c>
      <c r="K99" s="18" t="s">
        <v>146</v>
      </c>
      <c r="L99" s="18" t="s">
        <v>146</v>
      </c>
      <c r="M99" s="18" t="s">
        <v>146</v>
      </c>
      <c r="N99" s="18" t="s">
        <v>146</v>
      </c>
      <c r="O99" s="18" t="s">
        <v>146</v>
      </c>
      <c r="P99" s="18" t="s">
        <v>146</v>
      </c>
      <c r="Q99" s="18" t="s">
        <v>146</v>
      </c>
      <c r="R99" s="20" t="e">
        <f t="shared" si="10"/>
        <v>#VALUE!</v>
      </c>
      <c r="T99" s="19" t="e">
        <f t="shared" si="11"/>
        <v>#VALUE!</v>
      </c>
      <c r="W99" s="20" t="e">
        <f t="shared" si="4"/>
        <v>#VALUE!</v>
      </c>
      <c r="X99" s="20" t="e">
        <f t="shared" si="9"/>
        <v>#VALUE!</v>
      </c>
    </row>
    <row r="100" spans="1:24" ht="98.25" customHeight="1" x14ac:dyDescent="0.25">
      <c r="A100" s="36" t="s">
        <v>147</v>
      </c>
      <c r="B100" s="37" t="s">
        <v>85</v>
      </c>
      <c r="C100" s="12" t="s">
        <v>253</v>
      </c>
      <c r="D100" s="37" t="s">
        <v>351</v>
      </c>
      <c r="E100" s="39">
        <v>43474</v>
      </c>
      <c r="F100" s="39">
        <v>43830</v>
      </c>
      <c r="G100" s="39">
        <v>43474</v>
      </c>
      <c r="H100" s="40">
        <v>43830</v>
      </c>
      <c r="I100" s="18" t="s">
        <v>146</v>
      </c>
      <c r="J100" s="18" t="s">
        <v>146</v>
      </c>
      <c r="K100" s="18" t="s">
        <v>146</v>
      </c>
      <c r="L100" s="18" t="s">
        <v>146</v>
      </c>
      <c r="M100" s="18" t="s">
        <v>146</v>
      </c>
      <c r="N100" s="18" t="s">
        <v>146</v>
      </c>
      <c r="O100" s="18" t="s">
        <v>146</v>
      </c>
      <c r="P100" s="18" t="s">
        <v>146</v>
      </c>
      <c r="Q100" s="18" t="s">
        <v>146</v>
      </c>
      <c r="R100" s="20" t="e">
        <f t="shared" si="10"/>
        <v>#VALUE!</v>
      </c>
      <c r="T100" s="19" t="e">
        <f t="shared" si="11"/>
        <v>#VALUE!</v>
      </c>
      <c r="W100" s="20" t="e">
        <f t="shared" si="4"/>
        <v>#VALUE!</v>
      </c>
      <c r="X100" s="20" t="e">
        <f t="shared" si="9"/>
        <v>#VALUE!</v>
      </c>
    </row>
    <row r="101" spans="1:24" ht="94.5" x14ac:dyDescent="0.25">
      <c r="A101" s="46"/>
      <c r="B101" s="37" t="s">
        <v>426</v>
      </c>
      <c r="C101" s="12" t="s">
        <v>253</v>
      </c>
      <c r="D101" s="37" t="s">
        <v>351</v>
      </c>
      <c r="E101" s="39" t="s">
        <v>146</v>
      </c>
      <c r="F101" s="39" t="s">
        <v>405</v>
      </c>
      <c r="G101" s="12" t="s">
        <v>146</v>
      </c>
      <c r="H101" s="157" t="s">
        <v>449</v>
      </c>
      <c r="I101" s="18" t="s">
        <v>146</v>
      </c>
      <c r="J101" s="18" t="s">
        <v>146</v>
      </c>
      <c r="K101" s="18" t="s">
        <v>146</v>
      </c>
      <c r="L101" s="18" t="s">
        <v>146</v>
      </c>
      <c r="M101" s="18" t="s">
        <v>146</v>
      </c>
      <c r="N101" s="18" t="s">
        <v>146</v>
      </c>
      <c r="O101" s="18" t="s">
        <v>146</v>
      </c>
      <c r="P101" s="18" t="s">
        <v>146</v>
      </c>
      <c r="Q101" s="18" t="s">
        <v>146</v>
      </c>
      <c r="R101" s="20" t="e">
        <f t="shared" si="10"/>
        <v>#VALUE!</v>
      </c>
      <c r="T101" s="19" t="e">
        <f t="shared" si="11"/>
        <v>#VALUE!</v>
      </c>
      <c r="W101" s="20" t="e">
        <f t="shared" si="4"/>
        <v>#VALUE!</v>
      </c>
      <c r="X101" s="20" t="e">
        <f t="shared" si="9"/>
        <v>#VALUE!</v>
      </c>
    </row>
    <row r="102" spans="1:24" ht="94.5" x14ac:dyDescent="0.25">
      <c r="A102" s="36" t="s">
        <v>86</v>
      </c>
      <c r="B102" s="37" t="s">
        <v>87</v>
      </c>
      <c r="C102" s="12" t="s">
        <v>253</v>
      </c>
      <c r="D102" s="37" t="s">
        <v>351</v>
      </c>
      <c r="E102" s="39">
        <v>43474</v>
      </c>
      <c r="F102" s="39">
        <v>43830</v>
      </c>
      <c r="G102" s="39">
        <v>43474</v>
      </c>
      <c r="H102" s="40">
        <v>43830</v>
      </c>
      <c r="I102" s="18" t="s">
        <v>146</v>
      </c>
      <c r="J102" s="18" t="s">
        <v>146</v>
      </c>
      <c r="K102" s="18" t="s">
        <v>146</v>
      </c>
      <c r="L102" s="18" t="s">
        <v>146</v>
      </c>
      <c r="M102" s="18" t="s">
        <v>146</v>
      </c>
      <c r="N102" s="18" t="s">
        <v>146</v>
      </c>
      <c r="O102" s="18" t="s">
        <v>146</v>
      </c>
      <c r="P102" s="18" t="s">
        <v>146</v>
      </c>
      <c r="Q102" s="18" t="s">
        <v>146</v>
      </c>
      <c r="R102" s="20" t="e">
        <f t="shared" si="10"/>
        <v>#VALUE!</v>
      </c>
      <c r="T102" s="19" t="e">
        <f t="shared" si="11"/>
        <v>#VALUE!</v>
      </c>
      <c r="W102" s="20" t="e">
        <f t="shared" si="4"/>
        <v>#VALUE!</v>
      </c>
      <c r="X102" s="20" t="e">
        <f t="shared" si="9"/>
        <v>#VALUE!</v>
      </c>
    </row>
    <row r="103" spans="1:24" ht="269.25" customHeight="1" x14ac:dyDescent="0.25">
      <c r="A103" s="36" t="s">
        <v>340</v>
      </c>
      <c r="B103" s="37" t="s">
        <v>308</v>
      </c>
      <c r="C103" s="72" t="s">
        <v>253</v>
      </c>
      <c r="D103" s="37" t="s">
        <v>351</v>
      </c>
      <c r="E103" s="39">
        <v>43474</v>
      </c>
      <c r="F103" s="39">
        <v>43830</v>
      </c>
      <c r="G103" s="39">
        <v>43474</v>
      </c>
      <c r="H103" s="40">
        <v>43830</v>
      </c>
      <c r="I103" s="77">
        <v>590</v>
      </c>
      <c r="J103" s="77">
        <v>590</v>
      </c>
      <c r="K103" s="77">
        <v>0</v>
      </c>
      <c r="L103" s="77">
        <v>0</v>
      </c>
      <c r="M103" s="77">
        <v>0</v>
      </c>
      <c r="N103" s="77">
        <f>U103-J103-L103</f>
        <v>0</v>
      </c>
      <c r="O103" s="77">
        <v>0</v>
      </c>
      <c r="P103" s="77">
        <f>590-J103-L103-N103</f>
        <v>0</v>
      </c>
      <c r="Q103" s="77" t="s">
        <v>146</v>
      </c>
      <c r="R103" s="20">
        <f t="shared" si="10"/>
        <v>590</v>
      </c>
      <c r="T103" s="19">
        <f t="shared" si="11"/>
        <v>590</v>
      </c>
      <c r="U103" s="19">
        <v>590</v>
      </c>
      <c r="W103" s="20">
        <f t="shared" si="4"/>
        <v>0</v>
      </c>
      <c r="X103" s="20">
        <f t="shared" si="9"/>
        <v>0</v>
      </c>
    </row>
    <row r="104" spans="1:24" x14ac:dyDescent="0.25">
      <c r="A104" s="318" t="s">
        <v>261</v>
      </c>
      <c r="B104" s="319"/>
      <c r="C104" s="319"/>
      <c r="D104" s="319"/>
      <c r="E104" s="319"/>
      <c r="F104" s="319"/>
      <c r="G104" s="319"/>
      <c r="H104" s="320"/>
      <c r="I104" s="18">
        <f>I81+I82+I83+I84+I85+I86+I87+I88+I103</f>
        <v>591</v>
      </c>
      <c r="J104" s="77">
        <f>SUM(J103)</f>
        <v>590</v>
      </c>
      <c r="K104" s="77">
        <f t="shared" ref="K104:P104" si="12">K81+K82+K83+K84+K85+K86+K87+K88+K103</f>
        <v>1</v>
      </c>
      <c r="L104" s="153">
        <f t="shared" si="12"/>
        <v>0</v>
      </c>
      <c r="M104" s="153">
        <f t="shared" si="12"/>
        <v>459.69999999999993</v>
      </c>
      <c r="N104" s="153">
        <f t="shared" si="12"/>
        <v>502.4</v>
      </c>
      <c r="O104" s="153">
        <f t="shared" si="12"/>
        <v>732.3</v>
      </c>
      <c r="P104" s="153">
        <f t="shared" si="12"/>
        <v>562.10000000000014</v>
      </c>
      <c r="Q104" s="18" t="s">
        <v>146</v>
      </c>
      <c r="R104" s="20">
        <f t="shared" si="10"/>
        <v>1783.9999999999998</v>
      </c>
      <c r="T104" s="19">
        <f t="shared" si="11"/>
        <v>590</v>
      </c>
      <c r="W104" s="20">
        <f t="shared" si="4"/>
        <v>-590</v>
      </c>
      <c r="X104" s="20">
        <f t="shared" si="9"/>
        <v>-1092.4000000000001</v>
      </c>
    </row>
    <row r="105" spans="1:24" x14ac:dyDescent="0.25">
      <c r="A105" s="318" t="s">
        <v>260</v>
      </c>
      <c r="B105" s="319"/>
      <c r="C105" s="319"/>
      <c r="D105" s="319"/>
      <c r="E105" s="319"/>
      <c r="F105" s="319"/>
      <c r="G105" s="319"/>
      <c r="H105" s="320"/>
      <c r="I105" s="42">
        <f>I104</f>
        <v>591</v>
      </c>
      <c r="J105" s="42">
        <f t="shared" ref="J105:P105" si="13">J104</f>
        <v>590</v>
      </c>
      <c r="K105" s="42">
        <f t="shared" si="13"/>
        <v>1</v>
      </c>
      <c r="L105" s="42">
        <f t="shared" si="13"/>
        <v>0</v>
      </c>
      <c r="M105" s="42">
        <f t="shared" si="13"/>
        <v>459.69999999999993</v>
      </c>
      <c r="N105" s="42">
        <f t="shared" si="13"/>
        <v>502.4</v>
      </c>
      <c r="O105" s="42">
        <f t="shared" si="13"/>
        <v>732.3</v>
      </c>
      <c r="P105" s="42">
        <f t="shared" si="13"/>
        <v>562.10000000000014</v>
      </c>
      <c r="Q105" s="32"/>
      <c r="R105" s="20">
        <f t="shared" si="10"/>
        <v>1783.9999999999998</v>
      </c>
      <c r="T105" s="19">
        <f t="shared" si="11"/>
        <v>590</v>
      </c>
      <c r="W105" s="20">
        <f t="shared" si="4"/>
        <v>-590</v>
      </c>
      <c r="X105" s="20">
        <f t="shared" si="9"/>
        <v>-1092.4000000000001</v>
      </c>
    </row>
    <row r="106" spans="1:24" x14ac:dyDescent="0.25">
      <c r="A106" s="318" t="s">
        <v>256</v>
      </c>
      <c r="B106" s="319"/>
      <c r="C106" s="319"/>
      <c r="D106" s="319"/>
      <c r="E106" s="319"/>
      <c r="F106" s="319"/>
      <c r="G106" s="319"/>
      <c r="H106" s="320"/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32"/>
      <c r="R106" s="20">
        <f t="shared" si="10"/>
        <v>0</v>
      </c>
      <c r="T106" s="19">
        <f t="shared" si="11"/>
        <v>0</v>
      </c>
      <c r="W106" s="20">
        <f t="shared" ref="W106:W126" si="14">U106-J106-L106</f>
        <v>0</v>
      </c>
      <c r="X106" s="20">
        <f t="shared" si="9"/>
        <v>0</v>
      </c>
    </row>
    <row r="107" spans="1:24" s="34" customFormat="1" ht="87.75" customHeight="1" x14ac:dyDescent="0.25">
      <c r="A107" s="28">
        <v>3</v>
      </c>
      <c r="B107" s="29" t="s">
        <v>31</v>
      </c>
      <c r="C107" s="30"/>
      <c r="D107" s="30"/>
      <c r="E107" s="31"/>
      <c r="F107" s="31"/>
      <c r="G107" s="31"/>
      <c r="H107" s="31"/>
      <c r="I107" s="32"/>
      <c r="J107" s="32"/>
      <c r="K107" s="32"/>
      <c r="L107" s="32"/>
      <c r="M107" s="32"/>
      <c r="N107" s="78"/>
      <c r="O107" s="33"/>
      <c r="P107" s="32"/>
      <c r="Q107" s="32"/>
      <c r="R107" s="20">
        <f t="shared" si="10"/>
        <v>0</v>
      </c>
      <c r="S107" s="35">
        <f t="shared" ref="S107:S114" si="15">I107+K107+M107+O107</f>
        <v>0</v>
      </c>
      <c r="T107" s="19">
        <f t="shared" si="11"/>
        <v>0</v>
      </c>
      <c r="W107" s="20">
        <f t="shared" si="14"/>
        <v>0</v>
      </c>
      <c r="X107" s="20">
        <f t="shared" si="9"/>
        <v>0</v>
      </c>
    </row>
    <row r="108" spans="1:24" s="34" customFormat="1" ht="195" customHeight="1" x14ac:dyDescent="0.25">
      <c r="A108" s="36" t="s">
        <v>33</v>
      </c>
      <c r="B108" s="47" t="s">
        <v>262</v>
      </c>
      <c r="C108" s="72" t="s">
        <v>253</v>
      </c>
      <c r="D108" s="37" t="s">
        <v>352</v>
      </c>
      <c r="E108" s="39">
        <v>43474</v>
      </c>
      <c r="F108" s="39">
        <v>43830</v>
      </c>
      <c r="G108" s="39">
        <v>43474</v>
      </c>
      <c r="H108" s="40">
        <v>43830</v>
      </c>
      <c r="I108" s="79">
        <v>0</v>
      </c>
      <c r="J108" s="79">
        <v>0</v>
      </c>
      <c r="K108" s="79">
        <v>0</v>
      </c>
      <c r="L108" s="79">
        <v>20</v>
      </c>
      <c r="M108" s="79">
        <v>20</v>
      </c>
      <c r="N108" s="153">
        <v>20</v>
      </c>
      <c r="O108" s="79">
        <v>24</v>
      </c>
      <c r="P108" s="79">
        <f>44-J108-L108-N108</f>
        <v>4</v>
      </c>
      <c r="Q108" s="78" t="s">
        <v>146</v>
      </c>
      <c r="R108" s="20">
        <f t="shared" si="10"/>
        <v>44</v>
      </c>
      <c r="S108" s="35">
        <f t="shared" si="15"/>
        <v>44</v>
      </c>
      <c r="T108" s="19">
        <f t="shared" si="11"/>
        <v>20</v>
      </c>
      <c r="U108" s="35">
        <f>U109+U110</f>
        <v>45.8</v>
      </c>
      <c r="W108" s="20">
        <f t="shared" si="14"/>
        <v>25.799999999999997</v>
      </c>
      <c r="X108" s="20">
        <f t="shared" si="9"/>
        <v>5.7999999999999972</v>
      </c>
    </row>
    <row r="109" spans="1:24" s="34" customFormat="1" x14ac:dyDescent="0.25">
      <c r="A109" s="36"/>
      <c r="B109" s="322" t="s">
        <v>260</v>
      </c>
      <c r="C109" s="323"/>
      <c r="D109" s="323"/>
      <c r="E109" s="323"/>
      <c r="F109" s="323"/>
      <c r="G109" s="323"/>
      <c r="H109" s="324"/>
      <c r="I109" s="79">
        <v>0</v>
      </c>
      <c r="J109" s="79">
        <v>0</v>
      </c>
      <c r="K109" s="79">
        <v>0</v>
      </c>
      <c r="L109" s="79">
        <v>4.8</v>
      </c>
      <c r="M109" s="79">
        <v>4.8</v>
      </c>
      <c r="N109" s="153">
        <v>4.8</v>
      </c>
      <c r="O109" s="79">
        <v>5.8</v>
      </c>
      <c r="P109" s="79">
        <f>10.6-J109-L109-N109</f>
        <v>1</v>
      </c>
      <c r="Q109" s="78"/>
      <c r="R109" s="20">
        <f t="shared" si="10"/>
        <v>10.6</v>
      </c>
      <c r="S109" s="35"/>
      <c r="T109" s="19">
        <f t="shared" si="11"/>
        <v>4.8</v>
      </c>
      <c r="U109" s="34">
        <v>11</v>
      </c>
      <c r="W109" s="20">
        <f t="shared" si="14"/>
        <v>6.2</v>
      </c>
      <c r="X109" s="20">
        <f t="shared" si="9"/>
        <v>1.4000000000000004</v>
      </c>
    </row>
    <row r="110" spans="1:24" s="34" customFormat="1" x14ac:dyDescent="0.25">
      <c r="A110" s="36"/>
      <c r="B110" s="322" t="s">
        <v>256</v>
      </c>
      <c r="C110" s="323"/>
      <c r="D110" s="323"/>
      <c r="E110" s="323"/>
      <c r="F110" s="323"/>
      <c r="G110" s="323"/>
      <c r="H110" s="324"/>
      <c r="I110" s="79">
        <v>0</v>
      </c>
      <c r="J110" s="79">
        <v>0</v>
      </c>
      <c r="K110" s="79">
        <v>0</v>
      </c>
      <c r="L110" s="79">
        <v>15.2</v>
      </c>
      <c r="M110" s="79">
        <v>15.2</v>
      </c>
      <c r="N110" s="153">
        <v>15.2</v>
      </c>
      <c r="O110" s="79">
        <v>18.2</v>
      </c>
      <c r="P110" s="79">
        <f>33.4-J110-L110-N110</f>
        <v>3</v>
      </c>
      <c r="Q110" s="78"/>
      <c r="R110" s="20">
        <f t="shared" si="10"/>
        <v>33.4</v>
      </c>
      <c r="S110" s="35"/>
      <c r="T110" s="19">
        <f t="shared" si="11"/>
        <v>15.2</v>
      </c>
      <c r="U110" s="34">
        <v>34.799999999999997</v>
      </c>
      <c r="W110" s="20">
        <f t="shared" si="14"/>
        <v>19.599999999999998</v>
      </c>
      <c r="X110" s="20">
        <f t="shared" si="9"/>
        <v>4.3999999999999986</v>
      </c>
    </row>
    <row r="111" spans="1:24" s="34" customFormat="1" ht="189" x14ac:dyDescent="0.25">
      <c r="A111" s="36" t="s">
        <v>191</v>
      </c>
      <c r="B111" s="198" t="s">
        <v>263</v>
      </c>
      <c r="C111" s="72" t="s">
        <v>253</v>
      </c>
      <c r="D111" s="37" t="s">
        <v>264</v>
      </c>
      <c r="E111" s="39">
        <v>43474</v>
      </c>
      <c r="F111" s="39">
        <v>43830</v>
      </c>
      <c r="G111" s="39">
        <v>43474</v>
      </c>
      <c r="H111" s="40">
        <v>43830</v>
      </c>
      <c r="I111" s="79">
        <v>0</v>
      </c>
      <c r="J111" s="79">
        <v>0</v>
      </c>
      <c r="K111" s="79">
        <v>38.299999999999997</v>
      </c>
      <c r="L111" s="127">
        <v>62.8</v>
      </c>
      <c r="M111" s="79">
        <v>153.6</v>
      </c>
      <c r="N111" s="77">
        <f t="shared" ref="N111:N119" si="16">U111-J111-L111</f>
        <v>59</v>
      </c>
      <c r="O111" s="79">
        <v>58.1</v>
      </c>
      <c r="P111" s="79">
        <f>228.2-J111-L111-N111</f>
        <v>106.39999999999998</v>
      </c>
      <c r="Q111" s="128" t="s">
        <v>427</v>
      </c>
      <c r="R111" s="20">
        <f t="shared" si="10"/>
        <v>249.99999999999997</v>
      </c>
      <c r="S111" s="35">
        <f t="shared" si="15"/>
        <v>249.99999999999997</v>
      </c>
      <c r="T111" s="19">
        <f t="shared" si="11"/>
        <v>62.8</v>
      </c>
      <c r="U111" s="35">
        <f>U112+U113</f>
        <v>121.8</v>
      </c>
      <c r="W111" s="20">
        <f t="shared" si="14"/>
        <v>59</v>
      </c>
      <c r="X111" s="20">
        <f t="shared" si="9"/>
        <v>0</v>
      </c>
    </row>
    <row r="112" spans="1:24" s="34" customFormat="1" x14ac:dyDescent="0.25">
      <c r="A112" s="36"/>
      <c r="B112" s="322" t="s">
        <v>260</v>
      </c>
      <c r="C112" s="323"/>
      <c r="D112" s="323"/>
      <c r="E112" s="323"/>
      <c r="F112" s="323"/>
      <c r="G112" s="323"/>
      <c r="H112" s="324"/>
      <c r="I112" s="79">
        <v>0</v>
      </c>
      <c r="J112" s="79">
        <v>0</v>
      </c>
      <c r="K112" s="79">
        <v>9.1999999999999993</v>
      </c>
      <c r="L112" s="79">
        <v>15.1</v>
      </c>
      <c r="M112" s="79">
        <v>36.9</v>
      </c>
      <c r="N112" s="77">
        <f t="shared" si="16"/>
        <v>14.1</v>
      </c>
      <c r="O112" s="79">
        <v>13.9</v>
      </c>
      <c r="P112" s="79">
        <f>54.8-J112-L112-N112</f>
        <v>25.599999999999994</v>
      </c>
      <c r="Q112" s="78"/>
      <c r="R112" s="20">
        <f t="shared" si="10"/>
        <v>59.999999999999993</v>
      </c>
      <c r="S112" s="35"/>
      <c r="T112" s="19">
        <f t="shared" si="11"/>
        <v>15.1</v>
      </c>
      <c r="U112" s="34">
        <v>29.2</v>
      </c>
      <c r="W112" s="20">
        <f t="shared" si="14"/>
        <v>14.1</v>
      </c>
      <c r="X112" s="20">
        <f t="shared" si="9"/>
        <v>0</v>
      </c>
    </row>
    <row r="113" spans="1:25" s="34" customFormat="1" x14ac:dyDescent="0.25">
      <c r="A113" s="36"/>
      <c r="B113" s="322" t="s">
        <v>256</v>
      </c>
      <c r="C113" s="323"/>
      <c r="D113" s="323"/>
      <c r="E113" s="323"/>
      <c r="F113" s="323"/>
      <c r="G113" s="323"/>
      <c r="H113" s="324"/>
      <c r="I113" s="79">
        <v>0</v>
      </c>
      <c r="J113" s="79">
        <v>0</v>
      </c>
      <c r="K113" s="79">
        <v>29.1</v>
      </c>
      <c r="L113" s="79">
        <v>47.7</v>
      </c>
      <c r="M113" s="79">
        <v>116.7</v>
      </c>
      <c r="N113" s="77">
        <f t="shared" si="16"/>
        <v>44.899999999999991</v>
      </c>
      <c r="O113" s="79">
        <v>44.2</v>
      </c>
      <c r="P113" s="79">
        <f>173.4-J113-L113-N113</f>
        <v>80.800000000000011</v>
      </c>
      <c r="Q113" s="78"/>
      <c r="R113" s="20">
        <f t="shared" si="10"/>
        <v>190</v>
      </c>
      <c r="S113" s="35"/>
      <c r="T113" s="19">
        <f t="shared" si="11"/>
        <v>47.7</v>
      </c>
      <c r="U113" s="35">
        <v>92.6</v>
      </c>
      <c r="W113" s="20">
        <f t="shared" si="14"/>
        <v>44.899999999999991</v>
      </c>
      <c r="X113" s="20">
        <f t="shared" si="9"/>
        <v>0</v>
      </c>
    </row>
    <row r="114" spans="1:25" s="34" customFormat="1" ht="134.44999999999999" customHeight="1" x14ac:dyDescent="0.25">
      <c r="A114" s="36" t="s">
        <v>194</v>
      </c>
      <c r="B114" s="47" t="s">
        <v>265</v>
      </c>
      <c r="C114" s="12" t="s">
        <v>253</v>
      </c>
      <c r="D114" s="38" t="s">
        <v>343</v>
      </c>
      <c r="E114" s="39">
        <v>43474</v>
      </c>
      <c r="F114" s="39">
        <v>43830</v>
      </c>
      <c r="G114" s="39">
        <v>43474</v>
      </c>
      <c r="H114" s="40">
        <v>43830</v>
      </c>
      <c r="I114" s="42">
        <v>4</v>
      </c>
      <c r="J114" s="42">
        <v>4</v>
      </c>
      <c r="K114" s="42">
        <v>0</v>
      </c>
      <c r="L114" s="42">
        <v>0</v>
      </c>
      <c r="M114" s="42">
        <v>3.9</v>
      </c>
      <c r="N114" s="77">
        <f t="shared" si="16"/>
        <v>4</v>
      </c>
      <c r="O114" s="42">
        <v>0.1</v>
      </c>
      <c r="P114" s="79">
        <f>8-J114-L114-N114</f>
        <v>0</v>
      </c>
      <c r="Q114" s="32"/>
      <c r="R114" s="20">
        <f t="shared" si="10"/>
        <v>8</v>
      </c>
      <c r="S114" s="35">
        <f t="shared" si="15"/>
        <v>8</v>
      </c>
      <c r="T114" s="19">
        <f t="shared" si="11"/>
        <v>4</v>
      </c>
      <c r="U114" s="34">
        <f>U115+U116</f>
        <v>8</v>
      </c>
      <c r="W114" s="20">
        <f t="shared" si="14"/>
        <v>4</v>
      </c>
      <c r="X114" s="20">
        <f t="shared" si="9"/>
        <v>0</v>
      </c>
    </row>
    <row r="115" spans="1:25" s="34" customFormat="1" x14ac:dyDescent="0.25">
      <c r="A115" s="36"/>
      <c r="B115" s="322" t="s">
        <v>260</v>
      </c>
      <c r="C115" s="323"/>
      <c r="D115" s="323"/>
      <c r="E115" s="323"/>
      <c r="F115" s="323"/>
      <c r="G115" s="323"/>
      <c r="H115" s="324"/>
      <c r="I115" s="42">
        <v>1</v>
      </c>
      <c r="J115" s="42">
        <v>1</v>
      </c>
      <c r="K115" s="42">
        <v>0</v>
      </c>
      <c r="L115" s="42">
        <v>0</v>
      </c>
      <c r="M115" s="42">
        <v>0.9</v>
      </c>
      <c r="N115" s="77">
        <f t="shared" si="16"/>
        <v>0.89999999999999991</v>
      </c>
      <c r="O115" s="42">
        <v>0</v>
      </c>
      <c r="P115" s="79">
        <v>0</v>
      </c>
      <c r="Q115" s="32"/>
      <c r="R115" s="20">
        <f t="shared" si="10"/>
        <v>1.9</v>
      </c>
      <c r="S115" s="35"/>
      <c r="T115" s="19">
        <f t="shared" si="11"/>
        <v>1</v>
      </c>
      <c r="U115" s="34">
        <v>1.9</v>
      </c>
      <c r="W115" s="20">
        <f t="shared" si="14"/>
        <v>0.89999999999999991</v>
      </c>
      <c r="X115" s="20">
        <f t="shared" si="9"/>
        <v>0</v>
      </c>
    </row>
    <row r="116" spans="1:25" s="34" customFormat="1" x14ac:dyDescent="0.25">
      <c r="A116" s="36"/>
      <c r="B116" s="322" t="s">
        <v>256</v>
      </c>
      <c r="C116" s="323"/>
      <c r="D116" s="323"/>
      <c r="E116" s="323"/>
      <c r="F116" s="323"/>
      <c r="G116" s="323"/>
      <c r="H116" s="324"/>
      <c r="I116" s="42">
        <v>3</v>
      </c>
      <c r="J116" s="42">
        <v>3</v>
      </c>
      <c r="K116" s="42">
        <v>0</v>
      </c>
      <c r="L116" s="42">
        <v>0</v>
      </c>
      <c r="M116" s="42">
        <v>3</v>
      </c>
      <c r="N116" s="77">
        <f t="shared" si="16"/>
        <v>3.0999999999999996</v>
      </c>
      <c r="O116" s="42">
        <v>0.1</v>
      </c>
      <c r="P116" s="79">
        <v>0</v>
      </c>
      <c r="Q116" s="32"/>
      <c r="R116" s="20">
        <f t="shared" si="10"/>
        <v>6.1</v>
      </c>
      <c r="S116" s="35"/>
      <c r="T116" s="19">
        <f t="shared" si="11"/>
        <v>3</v>
      </c>
      <c r="U116" s="34">
        <v>6.1</v>
      </c>
      <c r="W116" s="20">
        <f t="shared" si="14"/>
        <v>3.0999999999999996</v>
      </c>
      <c r="X116" s="20">
        <f t="shared" si="9"/>
        <v>0</v>
      </c>
    </row>
    <row r="117" spans="1:25" s="34" customFormat="1" ht="142.5" customHeight="1" x14ac:dyDescent="0.25">
      <c r="A117" s="36" t="s">
        <v>196</v>
      </c>
      <c r="B117" s="47" t="s">
        <v>266</v>
      </c>
      <c r="C117" s="12" t="s">
        <v>253</v>
      </c>
      <c r="D117" s="38" t="s">
        <v>343</v>
      </c>
      <c r="E117" s="39">
        <v>43474</v>
      </c>
      <c r="F117" s="39">
        <v>43830</v>
      </c>
      <c r="G117" s="39">
        <v>43474</v>
      </c>
      <c r="H117" s="40">
        <v>43830</v>
      </c>
      <c r="I117" s="42">
        <v>0</v>
      </c>
      <c r="J117" s="42">
        <v>0</v>
      </c>
      <c r="K117" s="42">
        <v>54.7</v>
      </c>
      <c r="L117" s="42">
        <v>34.700000000000003</v>
      </c>
      <c r="M117" s="32">
        <v>47.7</v>
      </c>
      <c r="N117" s="77">
        <f t="shared" si="16"/>
        <v>41.899999999999991</v>
      </c>
      <c r="O117" s="42">
        <v>0.6</v>
      </c>
      <c r="P117" s="79">
        <f>102.4-J117-L117-N117</f>
        <v>25.800000000000011</v>
      </c>
      <c r="Q117" s="32"/>
      <c r="R117" s="20">
        <f t="shared" si="10"/>
        <v>103</v>
      </c>
      <c r="S117" s="35"/>
      <c r="T117" s="19">
        <f t="shared" si="11"/>
        <v>34.700000000000003</v>
      </c>
      <c r="U117" s="34">
        <f>U118+U119</f>
        <v>76.599999999999994</v>
      </c>
      <c r="W117" s="20">
        <f t="shared" si="14"/>
        <v>41.899999999999991</v>
      </c>
      <c r="X117" s="20">
        <f t="shared" si="9"/>
        <v>0</v>
      </c>
    </row>
    <row r="118" spans="1:25" s="34" customFormat="1" x14ac:dyDescent="0.25">
      <c r="A118" s="36"/>
      <c r="B118" s="322" t="s">
        <v>260</v>
      </c>
      <c r="C118" s="323"/>
      <c r="D118" s="323"/>
      <c r="E118" s="323"/>
      <c r="F118" s="323"/>
      <c r="G118" s="323"/>
      <c r="H118" s="324"/>
      <c r="I118" s="42">
        <v>0</v>
      </c>
      <c r="J118" s="42">
        <v>0</v>
      </c>
      <c r="K118" s="42">
        <v>13.1</v>
      </c>
      <c r="L118" s="42">
        <v>8.3000000000000007</v>
      </c>
      <c r="M118" s="42">
        <v>11.4</v>
      </c>
      <c r="N118" s="77">
        <f t="shared" si="16"/>
        <v>10.099999999999998</v>
      </c>
      <c r="O118" s="42">
        <v>0.2</v>
      </c>
      <c r="P118" s="79">
        <f>24.6-J118-L118-N118</f>
        <v>6.2000000000000028</v>
      </c>
      <c r="Q118" s="32"/>
      <c r="R118" s="20">
        <f t="shared" si="10"/>
        <v>24.7</v>
      </c>
      <c r="S118" s="35"/>
      <c r="T118" s="19">
        <f t="shared" si="11"/>
        <v>8.3000000000000007</v>
      </c>
      <c r="U118" s="34">
        <v>18.399999999999999</v>
      </c>
      <c r="W118" s="20">
        <f t="shared" si="14"/>
        <v>10.099999999999998</v>
      </c>
      <c r="X118" s="20">
        <f t="shared" si="9"/>
        <v>0</v>
      </c>
    </row>
    <row r="119" spans="1:25" s="34" customFormat="1" x14ac:dyDescent="0.25">
      <c r="A119" s="36"/>
      <c r="B119" s="322" t="s">
        <v>256</v>
      </c>
      <c r="C119" s="323"/>
      <c r="D119" s="323"/>
      <c r="E119" s="323"/>
      <c r="F119" s="323"/>
      <c r="G119" s="323"/>
      <c r="H119" s="324"/>
      <c r="I119" s="42">
        <v>0</v>
      </c>
      <c r="J119" s="42">
        <v>0</v>
      </c>
      <c r="K119" s="42">
        <v>41.6</v>
      </c>
      <c r="L119" s="42">
        <v>26.4</v>
      </c>
      <c r="M119" s="42">
        <v>36.25</v>
      </c>
      <c r="N119" s="77">
        <f t="shared" si="16"/>
        <v>31.800000000000004</v>
      </c>
      <c r="O119" s="42">
        <v>0.4</v>
      </c>
      <c r="P119" s="79">
        <f>77.8-J119-L119-N119</f>
        <v>19.599999999999994</v>
      </c>
      <c r="Q119" s="32"/>
      <c r="R119" s="20">
        <f t="shared" si="10"/>
        <v>78.25</v>
      </c>
      <c r="S119" s="35"/>
      <c r="T119" s="19">
        <f t="shared" si="11"/>
        <v>26.4</v>
      </c>
      <c r="U119" s="34">
        <v>58.2</v>
      </c>
      <c r="W119" s="20">
        <f t="shared" si="14"/>
        <v>31.800000000000004</v>
      </c>
      <c r="X119" s="20">
        <f t="shared" si="9"/>
        <v>0</v>
      </c>
    </row>
    <row r="120" spans="1:25" s="34" customFormat="1" ht="126" x14ac:dyDescent="0.25">
      <c r="A120" s="36" t="s">
        <v>212</v>
      </c>
      <c r="B120" s="47" t="s">
        <v>267</v>
      </c>
      <c r="C120" s="12" t="s">
        <v>253</v>
      </c>
      <c r="D120" s="38" t="s">
        <v>343</v>
      </c>
      <c r="E120" s="39">
        <v>43474</v>
      </c>
      <c r="F120" s="39">
        <v>43830</v>
      </c>
      <c r="G120" s="39">
        <v>43474</v>
      </c>
      <c r="H120" s="40">
        <v>43830</v>
      </c>
      <c r="I120" s="32" t="s">
        <v>146</v>
      </c>
      <c r="J120" s="32" t="s">
        <v>146</v>
      </c>
      <c r="K120" s="32" t="s">
        <v>146</v>
      </c>
      <c r="L120" s="32" t="s">
        <v>146</v>
      </c>
      <c r="M120" s="32" t="s">
        <v>146</v>
      </c>
      <c r="N120" s="32" t="s">
        <v>146</v>
      </c>
      <c r="O120" s="42" t="s">
        <v>146</v>
      </c>
      <c r="P120" s="32" t="s">
        <v>146</v>
      </c>
      <c r="Q120" s="32" t="s">
        <v>146</v>
      </c>
      <c r="R120" s="20" t="e">
        <f t="shared" si="10"/>
        <v>#VALUE!</v>
      </c>
      <c r="S120" s="35"/>
      <c r="T120" s="19" t="e">
        <f t="shared" si="11"/>
        <v>#VALUE!</v>
      </c>
      <c r="W120" s="20" t="e">
        <f t="shared" si="14"/>
        <v>#VALUE!</v>
      </c>
      <c r="X120" s="20" t="e">
        <f t="shared" si="9"/>
        <v>#VALUE!</v>
      </c>
    </row>
    <row r="121" spans="1:25" s="34" customFormat="1" ht="39.75" customHeight="1" x14ac:dyDescent="0.25">
      <c r="A121" s="318" t="s">
        <v>268</v>
      </c>
      <c r="B121" s="319"/>
      <c r="C121" s="319"/>
      <c r="D121" s="319"/>
      <c r="E121" s="319"/>
      <c r="F121" s="319"/>
      <c r="G121" s="319"/>
      <c r="H121" s="320"/>
      <c r="I121" s="42">
        <f>I122+I123</f>
        <v>4</v>
      </c>
      <c r="J121" s="42">
        <f t="shared" ref="J121:P121" si="17">J122+J123</f>
        <v>4</v>
      </c>
      <c r="K121" s="42">
        <f t="shared" si="17"/>
        <v>93</v>
      </c>
      <c r="L121" s="42">
        <f t="shared" si="17"/>
        <v>117.50000000000001</v>
      </c>
      <c r="M121" s="42">
        <f t="shared" si="17"/>
        <v>225.15</v>
      </c>
      <c r="N121" s="42">
        <f t="shared" si="17"/>
        <v>124.89999999999999</v>
      </c>
      <c r="O121" s="42">
        <f t="shared" si="17"/>
        <v>82.800000000000011</v>
      </c>
      <c r="P121" s="42">
        <f t="shared" si="17"/>
        <v>136.19999999999999</v>
      </c>
      <c r="Q121" s="32"/>
      <c r="R121" s="20">
        <f t="shared" si="10"/>
        <v>404.95</v>
      </c>
      <c r="S121" s="35"/>
      <c r="T121" s="19">
        <f t="shared" si="11"/>
        <v>121.50000000000001</v>
      </c>
      <c r="W121" s="20">
        <f t="shared" si="14"/>
        <v>-121.50000000000001</v>
      </c>
      <c r="X121" s="20">
        <f t="shared" si="9"/>
        <v>-246.4</v>
      </c>
    </row>
    <row r="122" spans="1:25" s="34" customFormat="1" x14ac:dyDescent="0.25">
      <c r="A122" s="322" t="s">
        <v>260</v>
      </c>
      <c r="B122" s="323"/>
      <c r="C122" s="323"/>
      <c r="D122" s="323"/>
      <c r="E122" s="323"/>
      <c r="F122" s="323"/>
      <c r="G122" s="323"/>
      <c r="H122" s="324"/>
      <c r="I122" s="42">
        <f>I109+I112+I115+I118</f>
        <v>1</v>
      </c>
      <c r="J122" s="42">
        <f t="shared" ref="J122:P123" si="18">J109+J112+J115+J118</f>
        <v>1</v>
      </c>
      <c r="K122" s="42">
        <f t="shared" si="18"/>
        <v>22.299999999999997</v>
      </c>
      <c r="L122" s="42">
        <f t="shared" si="18"/>
        <v>28.2</v>
      </c>
      <c r="M122" s="42">
        <f t="shared" si="18"/>
        <v>53.999999999999993</v>
      </c>
      <c r="N122" s="42">
        <f t="shared" si="18"/>
        <v>29.899999999999995</v>
      </c>
      <c r="O122" s="42">
        <f t="shared" si="18"/>
        <v>19.899999999999999</v>
      </c>
      <c r="P122" s="42">
        <f t="shared" si="18"/>
        <v>32.799999999999997</v>
      </c>
      <c r="Q122" s="32"/>
      <c r="R122" s="20">
        <f t="shared" si="10"/>
        <v>97.199999999999989</v>
      </c>
      <c r="S122" s="35"/>
      <c r="T122" s="19">
        <f t="shared" si="11"/>
        <v>29.2</v>
      </c>
      <c r="W122" s="20">
        <f t="shared" si="14"/>
        <v>-29.2</v>
      </c>
      <c r="X122" s="20">
        <f t="shared" si="9"/>
        <v>-59.099999999999994</v>
      </c>
    </row>
    <row r="123" spans="1:25" s="34" customFormat="1" x14ac:dyDescent="0.25">
      <c r="A123" s="322" t="s">
        <v>256</v>
      </c>
      <c r="B123" s="323"/>
      <c r="C123" s="323"/>
      <c r="D123" s="323"/>
      <c r="E123" s="323"/>
      <c r="F123" s="323"/>
      <c r="G123" s="323"/>
      <c r="H123" s="324"/>
      <c r="I123" s="42">
        <f>I110+I113+I116+I119</f>
        <v>3</v>
      </c>
      <c r="J123" s="42">
        <f t="shared" si="18"/>
        <v>3</v>
      </c>
      <c r="K123" s="42">
        <f t="shared" si="18"/>
        <v>70.7</v>
      </c>
      <c r="L123" s="42">
        <f t="shared" si="18"/>
        <v>89.300000000000011</v>
      </c>
      <c r="M123" s="42">
        <f t="shared" si="18"/>
        <v>171.15</v>
      </c>
      <c r="N123" s="42">
        <f t="shared" si="18"/>
        <v>95</v>
      </c>
      <c r="O123" s="42">
        <f t="shared" si="18"/>
        <v>62.900000000000006</v>
      </c>
      <c r="P123" s="42">
        <f t="shared" si="18"/>
        <v>103.4</v>
      </c>
      <c r="Q123" s="32"/>
      <c r="R123" s="20">
        <f t="shared" si="10"/>
        <v>307.75</v>
      </c>
      <c r="S123" s="35"/>
      <c r="T123" s="19">
        <f t="shared" si="11"/>
        <v>92.300000000000011</v>
      </c>
      <c r="W123" s="20">
        <f t="shared" si="14"/>
        <v>-92.300000000000011</v>
      </c>
      <c r="X123" s="20">
        <f t="shared" si="9"/>
        <v>-187.3</v>
      </c>
    </row>
    <row r="124" spans="1:25" s="34" customFormat="1" x14ac:dyDescent="0.25">
      <c r="A124" s="326" t="s">
        <v>269</v>
      </c>
      <c r="B124" s="327"/>
      <c r="C124" s="327"/>
      <c r="D124" s="327"/>
      <c r="E124" s="327"/>
      <c r="F124" s="327"/>
      <c r="G124" s="327"/>
      <c r="H124" s="328"/>
      <c r="I124" s="79">
        <f>I125+I126</f>
        <v>352554.7</v>
      </c>
      <c r="J124" s="79">
        <f t="shared" ref="J124:P124" si="19">J125+J126</f>
        <v>352553.7</v>
      </c>
      <c r="K124" s="79">
        <f t="shared" si="19"/>
        <v>516771.60000000003</v>
      </c>
      <c r="L124" s="79">
        <f t="shared" si="19"/>
        <v>507760</v>
      </c>
      <c r="M124" s="79">
        <f t="shared" si="19"/>
        <v>513293.75</v>
      </c>
      <c r="N124" s="79">
        <f t="shared" si="19"/>
        <v>547522.10000000009</v>
      </c>
      <c r="O124" s="79">
        <f t="shared" si="19"/>
        <v>783584.10000000009</v>
      </c>
      <c r="P124" s="79">
        <f t="shared" si="19"/>
        <v>657883.89999999979</v>
      </c>
      <c r="Q124" s="32"/>
      <c r="R124" s="20">
        <f t="shared" si="10"/>
        <v>2166204.1500000004</v>
      </c>
      <c r="S124" s="35">
        <f>J124+L124</f>
        <v>860313.7</v>
      </c>
      <c r="T124" s="19">
        <f t="shared" si="11"/>
        <v>860313.7</v>
      </c>
      <c r="W124" s="20">
        <f t="shared" si="14"/>
        <v>-860313.7</v>
      </c>
      <c r="X124" s="20">
        <f t="shared" si="9"/>
        <v>-1407835.8</v>
      </c>
    </row>
    <row r="125" spans="1:25" s="34" customFormat="1" x14ac:dyDescent="0.25">
      <c r="A125" s="329" t="s">
        <v>260</v>
      </c>
      <c r="B125" s="330"/>
      <c r="C125" s="330"/>
      <c r="D125" s="330"/>
      <c r="E125" s="330"/>
      <c r="F125" s="330"/>
      <c r="G125" s="330"/>
      <c r="H125" s="331"/>
      <c r="I125" s="42">
        <f t="shared" ref="I125:P126" si="20">I122+I76+I105</f>
        <v>111484.7</v>
      </c>
      <c r="J125" s="79">
        <f t="shared" si="20"/>
        <v>111483.7</v>
      </c>
      <c r="K125" s="79">
        <f t="shared" si="20"/>
        <v>201338.7</v>
      </c>
      <c r="L125" s="79">
        <f t="shared" si="20"/>
        <v>194463.70000000004</v>
      </c>
      <c r="M125" s="79">
        <f t="shared" si="20"/>
        <v>212901.4</v>
      </c>
      <c r="N125" s="79">
        <f t="shared" si="20"/>
        <v>231702.5</v>
      </c>
      <c r="O125" s="79">
        <f t="shared" si="20"/>
        <v>313404.90000000002</v>
      </c>
      <c r="P125" s="79">
        <f t="shared" si="20"/>
        <v>294400.6999999999</v>
      </c>
      <c r="Q125" s="32"/>
      <c r="R125" s="20">
        <f t="shared" si="10"/>
        <v>839129.70000000007</v>
      </c>
      <c r="S125" s="35">
        <f>J125+L125</f>
        <v>305947.40000000002</v>
      </c>
      <c r="T125" s="19">
        <f t="shared" si="11"/>
        <v>305947.40000000002</v>
      </c>
      <c r="W125" s="20">
        <f t="shared" si="14"/>
        <v>-305947.40000000002</v>
      </c>
      <c r="X125" s="20">
        <f t="shared" si="9"/>
        <v>-537649.9</v>
      </c>
    </row>
    <row r="126" spans="1:25" s="34" customFormat="1" x14ac:dyDescent="0.25">
      <c r="A126" s="329" t="s">
        <v>256</v>
      </c>
      <c r="B126" s="330"/>
      <c r="C126" s="330"/>
      <c r="D126" s="330"/>
      <c r="E126" s="330"/>
      <c r="F126" s="330"/>
      <c r="G126" s="330"/>
      <c r="H126" s="331"/>
      <c r="I126" s="79">
        <f t="shared" si="20"/>
        <v>241070</v>
      </c>
      <c r="J126" s="79">
        <f t="shared" si="20"/>
        <v>241070</v>
      </c>
      <c r="K126" s="79">
        <f t="shared" si="20"/>
        <v>315432.90000000002</v>
      </c>
      <c r="L126" s="79">
        <f t="shared" si="20"/>
        <v>313296.29999999993</v>
      </c>
      <c r="M126" s="79">
        <f t="shared" si="20"/>
        <v>300392.35000000003</v>
      </c>
      <c r="N126" s="79">
        <f t="shared" si="20"/>
        <v>315819.60000000009</v>
      </c>
      <c r="O126" s="79">
        <f t="shared" si="20"/>
        <v>470179.2</v>
      </c>
      <c r="P126" s="79">
        <f t="shared" si="20"/>
        <v>363483.1999999999</v>
      </c>
      <c r="Q126" s="32"/>
      <c r="R126" s="20">
        <f t="shared" si="10"/>
        <v>1327074.45</v>
      </c>
      <c r="S126" s="35">
        <f>J126+L126</f>
        <v>554366.29999999993</v>
      </c>
      <c r="T126" s="19">
        <f t="shared" si="11"/>
        <v>554366.29999999993</v>
      </c>
      <c r="W126" s="20">
        <f t="shared" si="14"/>
        <v>-554366.29999999993</v>
      </c>
      <c r="X126" s="20">
        <f t="shared" si="9"/>
        <v>-870185.9</v>
      </c>
    </row>
    <row r="127" spans="1:25" s="50" customFormat="1" ht="96.6" customHeight="1" x14ac:dyDescent="0.3">
      <c r="A127" s="298" t="s">
        <v>491</v>
      </c>
      <c r="B127" s="298"/>
      <c r="C127" s="298"/>
      <c r="D127" s="298"/>
      <c r="E127" s="298"/>
      <c r="F127" s="48"/>
      <c r="G127" s="19"/>
      <c r="H127" s="48"/>
      <c r="I127" s="48"/>
      <c r="J127" s="49"/>
      <c r="M127" s="268"/>
      <c r="N127" s="269"/>
      <c r="O127" s="271"/>
      <c r="P127" s="267" t="s">
        <v>492</v>
      </c>
      <c r="Q127" s="267"/>
      <c r="R127" s="19"/>
      <c r="S127" s="49"/>
      <c r="U127" s="49"/>
      <c r="V127" s="19"/>
      <c r="W127" s="19"/>
      <c r="Y127" s="19"/>
    </row>
    <row r="128" spans="1:25" s="50" customFormat="1" ht="24.75" customHeight="1" x14ac:dyDescent="0.25">
      <c r="B128" s="52"/>
      <c r="C128" s="52"/>
      <c r="D128" s="52"/>
      <c r="E128" s="53"/>
      <c r="G128" s="54"/>
      <c r="H128" s="55"/>
      <c r="I128" s="55"/>
      <c r="M128" s="71"/>
      <c r="N128" s="270"/>
      <c r="O128" s="71"/>
      <c r="P128" s="71"/>
      <c r="V128" s="19"/>
      <c r="W128" s="19"/>
      <c r="Y128" s="19"/>
    </row>
    <row r="129" spans="1:30" s="50" customFormat="1" ht="36" customHeight="1" x14ac:dyDescent="0.25">
      <c r="A129" s="325" t="s">
        <v>521</v>
      </c>
      <c r="B129" s="325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</row>
    <row r="130" spans="1:30" s="57" customFormat="1" ht="284.25" customHeight="1" x14ac:dyDescent="0.25">
      <c r="A130" s="61"/>
      <c r="B130" s="19"/>
      <c r="C130" s="19"/>
      <c r="D130" s="19"/>
      <c r="E130" s="19"/>
      <c r="F130" s="56"/>
      <c r="AA130" s="58"/>
      <c r="AB130" s="58"/>
      <c r="AC130" s="58"/>
      <c r="AD130" s="58"/>
    </row>
    <row r="131" spans="1:30" s="57" customFormat="1" ht="17.45" customHeight="1" x14ac:dyDescent="0.25">
      <c r="A131" s="116"/>
      <c r="B131" s="19"/>
      <c r="C131" s="19"/>
      <c r="D131" s="19"/>
      <c r="E131" s="19"/>
      <c r="F131" s="56"/>
      <c r="AA131" s="58"/>
      <c r="AB131" s="58"/>
      <c r="AC131" s="58"/>
      <c r="AD131" s="58" t="s">
        <v>270</v>
      </c>
    </row>
    <row r="132" spans="1:30" x14ac:dyDescent="0.25">
      <c r="A132" s="53"/>
    </row>
    <row r="133" spans="1:30" x14ac:dyDescent="0.25">
      <c r="A133" s="116"/>
    </row>
  </sheetData>
  <autoFilter ref="A10:AD128"/>
  <mergeCells count="42">
    <mergeCell ref="A129:B129"/>
    <mergeCell ref="A122:H122"/>
    <mergeCell ref="A123:H123"/>
    <mergeCell ref="A124:H124"/>
    <mergeCell ref="A125:H125"/>
    <mergeCell ref="A126:H126"/>
    <mergeCell ref="A127:E127"/>
    <mergeCell ref="A121:H121"/>
    <mergeCell ref="A76:H76"/>
    <mergeCell ref="A77:H77"/>
    <mergeCell ref="A104:H104"/>
    <mergeCell ref="B109:H109"/>
    <mergeCell ref="B110:H110"/>
    <mergeCell ref="B112:H112"/>
    <mergeCell ref="B113:H113"/>
    <mergeCell ref="B115:H115"/>
    <mergeCell ref="B116:H116"/>
    <mergeCell ref="B118:H118"/>
    <mergeCell ref="B119:H119"/>
    <mergeCell ref="A105:H105"/>
    <mergeCell ref="A106:H106"/>
    <mergeCell ref="A75:H75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2" fitToHeight="0" orientation="landscape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Климова Екатерина Анатольевна</cp:lastModifiedBy>
  <cp:lastPrinted>2020-02-25T06:46:15Z</cp:lastPrinted>
  <dcterms:created xsi:type="dcterms:W3CDTF">2010-04-08T05:43:02Z</dcterms:created>
  <dcterms:modified xsi:type="dcterms:W3CDTF">2020-02-25T06:46:23Z</dcterms:modified>
</cp:coreProperties>
</file>