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120" windowWidth="21600" windowHeight="9015" activeTab="1"/>
  </bookViews>
  <sheets>
    <sheet name="Финансирование" sheetId="1" r:id="rId1"/>
    <sheet name="Показатели, Критерии" sheetId="2" r:id="rId2"/>
    <sheet name="План реализации" sheetId="3" r:id="rId3"/>
  </sheets>
  <definedNames>
    <definedName name="_xlnm._FilterDatabase" localSheetId="2" hidden="1">'План реализации'!$A$9:$Q$9</definedName>
    <definedName name="_xlnm.Print_Titles" localSheetId="2">'План реализации'!$9:$9</definedName>
    <definedName name="_xlnm.Print_Titles" localSheetId="1">'Показатели, Критерии'!$9:$9</definedName>
    <definedName name="_xlnm.Print_Titles" localSheetId="0">Финансирование!$10:$10</definedName>
    <definedName name="_xlnm.Print_Area" localSheetId="2">'План реализации'!$A$1:$Q$135</definedName>
    <definedName name="_xlnm.Print_Area" localSheetId="1">'Показатели, Критерии'!$A$1:$G$54</definedName>
    <definedName name="_xlnm.Print_Area" localSheetId="0">Финансирование!$A$1:$AA$172</definedName>
  </definedNames>
  <calcPr calcId="145621"/>
</workbook>
</file>

<file path=xl/calcChain.xml><?xml version="1.0" encoding="utf-8"?>
<calcChain xmlns="http://schemas.openxmlformats.org/spreadsheetml/2006/main">
  <c r="AX62" i="1" l="1"/>
  <c r="AX61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3" i="1"/>
  <c r="AQ104" i="1"/>
  <c r="AQ105" i="1"/>
  <c r="AQ106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5" i="1"/>
  <c r="AV16" i="1"/>
  <c r="AV17" i="1"/>
  <c r="AV18" i="1"/>
  <c r="AV19" i="1"/>
  <c r="AV20" i="1"/>
  <c r="AV21" i="1"/>
  <c r="AV22" i="1"/>
  <c r="AV23" i="1"/>
  <c r="AV24" i="1"/>
  <c r="AV25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8" i="1"/>
  <c r="AV70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6" i="1"/>
  <c r="AV88" i="1"/>
  <c r="AV89" i="1"/>
  <c r="AV90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4" i="1"/>
  <c r="AX65" i="1"/>
  <c r="AX66" i="1"/>
  <c r="AX67" i="1"/>
  <c r="AX68" i="1"/>
  <c r="AX69" i="1"/>
  <c r="AX70" i="1"/>
  <c r="AX71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7" i="1"/>
  <c r="AX88" i="1"/>
  <c r="AX89" i="1"/>
  <c r="AX90" i="1"/>
  <c r="AX91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5" i="1"/>
  <c r="AB86" i="1" l="1"/>
  <c r="AH13" i="1" l="1"/>
  <c r="Y86" i="1" l="1"/>
  <c r="AX86" i="1" s="1"/>
  <c r="Y72" i="1"/>
  <c r="AX72" i="1" s="1"/>
  <c r="AB129" i="1" l="1"/>
  <c r="AB127" i="1"/>
  <c r="AB126" i="1"/>
  <c r="AB124" i="1"/>
  <c r="AB122" i="1"/>
  <c r="AB120" i="1"/>
  <c r="AB118" i="1"/>
  <c r="AB116" i="1"/>
  <c r="AB113" i="1"/>
  <c r="AB114" i="1"/>
  <c r="AB112" i="1"/>
  <c r="AB111" i="1"/>
  <c r="AB110" i="1"/>
  <c r="AB109" i="1"/>
  <c r="AB106" i="1"/>
  <c r="AB103" i="1"/>
  <c r="AB101" i="1"/>
  <c r="AB99" i="1"/>
  <c r="AB98" i="1"/>
  <c r="AB96" i="1"/>
  <c r="AB94" i="1"/>
  <c r="AB92" i="1"/>
  <c r="AB89" i="1"/>
  <c r="AB68" i="1"/>
  <c r="AB70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64" i="1"/>
  <c r="AB61" i="1"/>
  <c r="AB60" i="1"/>
  <c r="AB59" i="1"/>
  <c r="AB57" i="1"/>
  <c r="AB53" i="1"/>
  <c r="AB51" i="1"/>
  <c r="AB50" i="1"/>
  <c r="AB48" i="1"/>
  <c r="AB46" i="1"/>
  <c r="AB45" i="1"/>
  <c r="AB44" i="1"/>
  <c r="AB40" i="1"/>
  <c r="AB37" i="1"/>
  <c r="AB35" i="1"/>
  <c r="AB33" i="1"/>
  <c r="AB31" i="1"/>
  <c r="AB29" i="1"/>
  <c r="AB28" i="1"/>
  <c r="AB24" i="1"/>
  <c r="AB23" i="1"/>
  <c r="AB21" i="1"/>
  <c r="AB20" i="1"/>
  <c r="AB19" i="1"/>
  <c r="AB18" i="1"/>
  <c r="AB17" i="1"/>
  <c r="AC16" i="1"/>
  <c r="AC15" i="1"/>
  <c r="P26" i="1" l="1"/>
  <c r="AV26" i="1" l="1"/>
  <c r="AC26" i="1"/>
  <c r="Y92" i="1"/>
  <c r="AX92" i="1" s="1"/>
  <c r="X70" i="3" l="1"/>
  <c r="AC25" i="1" l="1"/>
  <c r="N66" i="3" l="1"/>
  <c r="AJ129" i="1" l="1"/>
  <c r="AJ127" i="1"/>
  <c r="AJ126" i="1"/>
  <c r="AJ124" i="1"/>
  <c r="AJ122" i="1"/>
  <c r="AJ120" i="1"/>
  <c r="AJ118" i="1"/>
  <c r="AJ116" i="1"/>
  <c r="AJ114" i="1"/>
  <c r="AJ112" i="1"/>
  <c r="AJ111" i="1"/>
  <c r="AJ110" i="1"/>
  <c r="AJ109" i="1"/>
  <c r="AJ108" i="1"/>
  <c r="AJ106" i="1"/>
  <c r="AJ103" i="1"/>
  <c r="AJ101" i="1"/>
  <c r="AJ99" i="1"/>
  <c r="AJ98" i="1"/>
  <c r="AJ96" i="1"/>
  <c r="AJ94" i="1"/>
  <c r="AJ93" i="1" l="1"/>
  <c r="AJ92" i="1"/>
  <c r="AJ89" i="1"/>
  <c r="AJ86" i="1"/>
  <c r="AJ80" i="1" l="1"/>
  <c r="AJ75" i="1"/>
  <c r="AJ73" i="1"/>
  <c r="AJ74" i="1"/>
  <c r="AJ72" i="1"/>
  <c r="AJ70" i="1"/>
  <c r="AJ68" i="1"/>
  <c r="AJ64" i="1"/>
  <c r="AJ60" i="1"/>
  <c r="AJ59" i="1"/>
  <c r="AJ57" i="1"/>
  <c r="AJ53" i="1"/>
  <c r="AJ51" i="1"/>
  <c r="AJ50" i="1"/>
  <c r="AJ48" i="1"/>
  <c r="AJ46" i="1"/>
  <c r="AJ45" i="1"/>
  <c r="AJ44" i="1"/>
  <c r="AJ42" i="1"/>
  <c r="AJ40" i="1"/>
  <c r="P85" i="1" l="1"/>
  <c r="K107" i="1" l="1"/>
  <c r="I107" i="1"/>
  <c r="K91" i="1"/>
  <c r="K87" i="1" s="1"/>
  <c r="K85" i="1"/>
  <c r="AV85" i="1" s="1"/>
  <c r="K71" i="1"/>
  <c r="K69" i="1" s="1"/>
  <c r="K67" i="1"/>
  <c r="I14" i="1"/>
  <c r="K14" i="1"/>
  <c r="Q65" i="1"/>
  <c r="R65" i="1"/>
  <c r="S65" i="1"/>
  <c r="O65" i="1"/>
  <c r="L65" i="1"/>
  <c r="M65" i="1"/>
  <c r="J65" i="1"/>
  <c r="I65" i="1"/>
  <c r="AQ65" i="1" s="1"/>
  <c r="AV67" i="1" l="1"/>
  <c r="AB67" i="1"/>
  <c r="AJ107" i="1"/>
  <c r="AQ107" i="1"/>
  <c r="AV107" i="1"/>
  <c r="AB107" i="1"/>
  <c r="K66" i="1"/>
  <c r="K65" i="1" s="1"/>
  <c r="AJ67" i="1"/>
  <c r="E85" i="1"/>
  <c r="F65" i="1"/>
  <c r="G65" i="1"/>
  <c r="H65" i="1"/>
  <c r="D65" i="1"/>
  <c r="E66" i="1"/>
  <c r="E65" i="1" s="1"/>
  <c r="K54" i="3" l="1"/>
  <c r="I54" i="3"/>
  <c r="O55" i="3"/>
  <c r="O54" i="3" s="1"/>
  <c r="P55" i="3"/>
  <c r="P54" i="3" s="1"/>
  <c r="M55" i="3"/>
  <c r="M54" i="3" s="1"/>
  <c r="W15" i="3"/>
  <c r="M10" i="3"/>
  <c r="O10" i="3" l="1"/>
  <c r="O75" i="3" l="1"/>
  <c r="T69" i="1" l="1"/>
  <c r="T66" i="1" l="1"/>
  <c r="T85" i="1" l="1"/>
  <c r="T82" i="1" l="1"/>
  <c r="T65" i="1" s="1"/>
  <c r="I102" i="1" l="1"/>
  <c r="AQ102" i="1" l="1"/>
  <c r="AB102" i="1"/>
  <c r="AC102" i="1"/>
  <c r="K84" i="1"/>
  <c r="L101" i="3" l="1"/>
  <c r="N101" i="3" s="1"/>
  <c r="L116" i="3"/>
  <c r="N116" i="3" s="1"/>
  <c r="L115" i="3"/>
  <c r="N115" i="3" s="1"/>
  <c r="L113" i="3"/>
  <c r="N113" i="3" s="1"/>
  <c r="L112" i="3"/>
  <c r="N112" i="3" s="1"/>
  <c r="L111" i="3"/>
  <c r="N111" i="3" s="1"/>
  <c r="L110" i="3"/>
  <c r="N110" i="3" s="1"/>
  <c r="L108" i="3"/>
  <c r="N108" i="3" s="1"/>
  <c r="L106" i="3"/>
  <c r="N106" i="3" s="1"/>
  <c r="L104" i="3"/>
  <c r="N104" i="3" s="1"/>
  <c r="L102" i="3"/>
  <c r="N102" i="3" s="1"/>
  <c r="L100" i="3"/>
  <c r="N100" i="3" s="1"/>
  <c r="L99" i="3"/>
  <c r="N99" i="3" s="1"/>
  <c r="L97" i="3"/>
  <c r="N97" i="3" s="1"/>
  <c r="L96" i="3"/>
  <c r="N96" i="3" s="1"/>
  <c r="L94" i="3"/>
  <c r="N94" i="3" s="1"/>
  <c r="L93" i="3"/>
  <c r="N93" i="3" s="1"/>
  <c r="L92" i="3"/>
  <c r="N92" i="3" s="1"/>
  <c r="L90" i="3"/>
  <c r="N90" i="3" s="1"/>
  <c r="L89" i="3"/>
  <c r="N89" i="3" s="1"/>
  <c r="L87" i="3"/>
  <c r="N87" i="3" s="1"/>
  <c r="L85" i="3"/>
  <c r="N85" i="3" s="1"/>
  <c r="L84" i="3"/>
  <c r="N84" i="3" s="1"/>
  <c r="L83" i="3"/>
  <c r="N83" i="3" s="1"/>
  <c r="N82" i="3" s="1"/>
  <c r="N79" i="3" s="1"/>
  <c r="L81" i="3"/>
  <c r="N81" i="3" s="1"/>
  <c r="L78" i="3"/>
  <c r="N78" i="3" s="1"/>
  <c r="L68" i="3"/>
  <c r="N68" i="3" s="1"/>
  <c r="L65" i="3"/>
  <c r="L63" i="3"/>
  <c r="N63" i="3" s="1"/>
  <c r="L62" i="3"/>
  <c r="N62" i="3" s="1"/>
  <c r="L61" i="3"/>
  <c r="N61" i="3" s="1"/>
  <c r="L59" i="3"/>
  <c r="N59" i="3" s="1"/>
  <c r="L57" i="3"/>
  <c r="N57" i="3" s="1"/>
  <c r="L56" i="3"/>
  <c r="N56" i="3" s="1"/>
  <c r="N55" i="3" l="1"/>
  <c r="L77" i="3"/>
  <c r="N77" i="3"/>
  <c r="N75" i="3" s="1"/>
  <c r="N60" i="3"/>
  <c r="N58" i="3" s="1"/>
  <c r="L55" i="3"/>
  <c r="L82" i="3"/>
  <c r="L79" i="3" s="1"/>
  <c r="L75" i="3" s="1"/>
  <c r="L60" i="3"/>
  <c r="L58" i="3" s="1"/>
  <c r="L51" i="3"/>
  <c r="N51" i="3" s="1"/>
  <c r="L47" i="3"/>
  <c r="L46" i="3"/>
  <c r="N46" i="3" s="1"/>
  <c r="L45" i="3"/>
  <c r="N45" i="3" s="1"/>
  <c r="L42" i="3"/>
  <c r="N42" i="3" s="1"/>
  <c r="L41" i="3"/>
  <c r="N41" i="3" s="1"/>
  <c r="L40" i="3"/>
  <c r="N40" i="3" s="1"/>
  <c r="L39" i="3"/>
  <c r="N39" i="3" s="1"/>
  <c r="L38" i="3"/>
  <c r="N38" i="3" s="1"/>
  <c r="L36" i="3"/>
  <c r="N36" i="3" s="1"/>
  <c r="L35" i="3"/>
  <c r="N35" i="3" s="1"/>
  <c r="L32" i="3"/>
  <c r="N32" i="3" s="1"/>
  <c r="L30" i="3"/>
  <c r="N30" i="3" s="1"/>
  <c r="L29" i="3"/>
  <c r="N29" i="3" s="1"/>
  <c r="L28" i="3"/>
  <c r="N28" i="3" s="1"/>
  <c r="L27" i="3"/>
  <c r="N27" i="3" s="1"/>
  <c r="L26" i="3"/>
  <c r="N26" i="3" s="1"/>
  <c r="L24" i="3"/>
  <c r="N24" i="3" s="1"/>
  <c r="L23" i="3"/>
  <c r="N23" i="3" s="1"/>
  <c r="L22" i="3"/>
  <c r="N22" i="3" s="1"/>
  <c r="L21" i="3"/>
  <c r="N21" i="3" s="1"/>
  <c r="L20" i="3"/>
  <c r="N20" i="3" s="1"/>
  <c r="L19" i="3"/>
  <c r="N19" i="3" s="1"/>
  <c r="L18" i="3"/>
  <c r="N18" i="3" s="1"/>
  <c r="L17" i="3"/>
  <c r="N17" i="3" s="1"/>
  <c r="L16" i="3"/>
  <c r="N16" i="3" s="1"/>
  <c r="L15" i="3"/>
  <c r="N15" i="3" s="1"/>
  <c r="L14" i="3"/>
  <c r="N14" i="3" s="1"/>
  <c r="L13" i="3"/>
  <c r="N13" i="3" s="1"/>
  <c r="L11" i="3"/>
  <c r="N11" i="3" l="1"/>
  <c r="N10" i="3" s="1"/>
  <c r="N54" i="3"/>
  <c r="L54" i="3"/>
  <c r="AC107" i="1"/>
  <c r="AC13" i="1" l="1"/>
  <c r="I84" i="1"/>
  <c r="N84" i="1"/>
  <c r="AQ84" i="1" l="1"/>
  <c r="K75" i="3"/>
  <c r="W97" i="3"/>
  <c r="W96" i="3"/>
  <c r="W48" i="3"/>
  <c r="J12" i="3" l="1"/>
  <c r="K12" i="3"/>
  <c r="L12" i="3"/>
  <c r="M12" i="3"/>
  <c r="N12" i="3"/>
  <c r="O12" i="3"/>
  <c r="P12" i="3"/>
  <c r="I12" i="3"/>
  <c r="J75" i="3"/>
  <c r="M75" i="3"/>
  <c r="P75" i="3"/>
  <c r="X97" i="3"/>
  <c r="Y97" i="3" s="1"/>
  <c r="T12" i="3" l="1"/>
  <c r="T75" i="3"/>
  <c r="AC61" i="1"/>
  <c r="D14" i="1"/>
  <c r="E14" i="1"/>
  <c r="F14" i="1"/>
  <c r="G14" i="1"/>
  <c r="H14" i="1"/>
  <c r="J14" i="1"/>
  <c r="L14" i="1"/>
  <c r="M14" i="1"/>
  <c r="O14" i="1"/>
  <c r="P14" i="1"/>
  <c r="Q14" i="1"/>
  <c r="R14" i="1"/>
  <c r="S14" i="1"/>
  <c r="T14" i="1"/>
  <c r="N14" i="1"/>
  <c r="N11" i="1" s="1"/>
  <c r="E91" i="1"/>
  <c r="E87" i="1" s="1"/>
  <c r="D84" i="1"/>
  <c r="AD14" i="1" l="1"/>
  <c r="E84" i="1"/>
  <c r="AC127" i="1" l="1"/>
  <c r="AC111" i="1"/>
  <c r="AC106" i="1"/>
  <c r="AC101" i="1"/>
  <c r="AC63" i="1"/>
  <c r="AC62" i="1"/>
  <c r="AC44" i="1"/>
  <c r="AC35" i="1"/>
  <c r="AC24" i="1"/>
  <c r="AC20" i="1"/>
  <c r="AC19" i="1"/>
  <c r="AC17" i="1"/>
  <c r="AC18" i="1"/>
  <c r="AC21" i="1"/>
  <c r="AC22" i="1"/>
  <c r="AC23" i="1"/>
  <c r="AC28" i="1"/>
  <c r="AC29" i="1"/>
  <c r="AC31" i="1"/>
  <c r="AC32" i="1"/>
  <c r="AC33" i="1"/>
  <c r="AC34" i="1"/>
  <c r="AC36" i="1"/>
  <c r="AC37" i="1"/>
  <c r="AC40" i="1"/>
  <c r="AC41" i="1"/>
  <c r="AC42" i="1"/>
  <c r="AC43" i="1"/>
  <c r="AC45" i="1"/>
  <c r="AC46" i="1"/>
  <c r="AC47" i="1"/>
  <c r="AC48" i="1"/>
  <c r="AC50" i="1"/>
  <c r="AC51" i="1"/>
  <c r="AC52" i="1"/>
  <c r="AC53" i="1"/>
  <c r="AC57" i="1"/>
  <c r="AC59" i="1"/>
  <c r="AC60" i="1"/>
  <c r="AC64" i="1"/>
  <c r="AC67" i="1"/>
  <c r="AC68" i="1"/>
  <c r="AC70" i="1"/>
  <c r="AC72" i="1"/>
  <c r="AC73" i="1"/>
  <c r="AC74" i="1"/>
  <c r="AC75" i="1"/>
  <c r="AC77" i="1"/>
  <c r="AC78" i="1"/>
  <c r="AC79" i="1"/>
  <c r="AC80" i="1"/>
  <c r="AC81" i="1"/>
  <c r="AC82" i="1"/>
  <c r="AC83" i="1"/>
  <c r="AC85" i="1"/>
  <c r="AC86" i="1"/>
  <c r="AC89" i="1"/>
  <c r="AC90" i="1"/>
  <c r="AC92" i="1"/>
  <c r="AC93" i="1"/>
  <c r="AC94" i="1"/>
  <c r="AC96" i="1"/>
  <c r="AC98" i="1"/>
  <c r="AC99" i="1"/>
  <c r="AC103" i="1"/>
  <c r="AC108" i="1"/>
  <c r="AC109" i="1"/>
  <c r="AC110" i="1"/>
  <c r="AC112" i="1"/>
  <c r="AC113" i="1"/>
  <c r="AC114" i="1"/>
  <c r="AC116" i="1"/>
  <c r="AC118" i="1"/>
  <c r="AC120" i="1"/>
  <c r="AC122" i="1"/>
  <c r="AC123" i="1"/>
  <c r="AC124" i="1"/>
  <c r="AC125" i="1"/>
  <c r="AC126" i="1"/>
  <c r="AC128" i="1"/>
  <c r="AC129" i="1"/>
  <c r="W70" i="3" l="1"/>
  <c r="Y70" i="3" s="1"/>
  <c r="W71" i="3"/>
  <c r="X71" i="3"/>
  <c r="J55" i="3"/>
  <c r="J54" i="3" s="1"/>
  <c r="Y71" i="3" l="1"/>
  <c r="J10" i="3" l="1"/>
  <c r="L10" i="3"/>
  <c r="P10" i="3"/>
  <c r="I10" i="3"/>
  <c r="T10" i="3" l="1"/>
  <c r="P66" i="1"/>
  <c r="AV66" i="1" s="1"/>
  <c r="AC66" i="1" l="1"/>
  <c r="S84" i="1"/>
  <c r="R84" i="1"/>
  <c r="Q84" i="1"/>
  <c r="O84" i="1"/>
  <c r="M84" i="1"/>
  <c r="L84" i="1"/>
  <c r="D11" i="1" l="1"/>
  <c r="AB9" i="1" s="1"/>
  <c r="AH99" i="1" l="1"/>
  <c r="AH98" i="1"/>
  <c r="AH114" i="1"/>
  <c r="AH116" i="1"/>
  <c r="AH72" i="1"/>
  <c r="AH112" i="1"/>
  <c r="AH81" i="1"/>
  <c r="AI120" i="1" l="1"/>
  <c r="AH120" i="1"/>
  <c r="W20" i="3" l="1"/>
  <c r="W23" i="3" l="1"/>
  <c r="AH65" i="1" l="1"/>
  <c r="X121" i="3" l="1"/>
  <c r="W121" i="3"/>
  <c r="X118" i="3"/>
  <c r="W118" i="3"/>
  <c r="X117" i="3"/>
  <c r="W117" i="3"/>
  <c r="W116" i="3"/>
  <c r="X116" i="3"/>
  <c r="W115" i="3"/>
  <c r="X115" i="3"/>
  <c r="X114" i="3"/>
  <c r="W114" i="3"/>
  <c r="W113" i="3"/>
  <c r="X113" i="3"/>
  <c r="W112" i="3"/>
  <c r="X112" i="3"/>
  <c r="W111" i="3"/>
  <c r="X111" i="3"/>
  <c r="W110" i="3"/>
  <c r="X110" i="3"/>
  <c r="X109" i="3"/>
  <c r="W109" i="3"/>
  <c r="W108" i="3"/>
  <c r="X108" i="3"/>
  <c r="X107" i="3"/>
  <c r="W107" i="3"/>
  <c r="W106" i="3"/>
  <c r="X106" i="3"/>
  <c r="X105" i="3"/>
  <c r="W105" i="3"/>
  <c r="W104" i="3"/>
  <c r="X104" i="3"/>
  <c r="X103" i="3"/>
  <c r="W103" i="3"/>
  <c r="W102" i="3"/>
  <c r="X102" i="3"/>
  <c r="W101" i="3"/>
  <c r="X101" i="3"/>
  <c r="W100" i="3"/>
  <c r="X100" i="3"/>
  <c r="W99" i="3"/>
  <c r="X99" i="3"/>
  <c r="X98" i="3"/>
  <c r="W98" i="3"/>
  <c r="X96" i="3"/>
  <c r="X95" i="3"/>
  <c r="W95" i="3"/>
  <c r="W94" i="3"/>
  <c r="X94" i="3"/>
  <c r="W93" i="3"/>
  <c r="X93" i="3"/>
  <c r="W92" i="3"/>
  <c r="X92" i="3"/>
  <c r="X91" i="3"/>
  <c r="W91" i="3"/>
  <c r="W90" i="3"/>
  <c r="X90" i="3"/>
  <c r="W89" i="3"/>
  <c r="X89" i="3"/>
  <c r="X88" i="3"/>
  <c r="W88" i="3"/>
  <c r="W87" i="3"/>
  <c r="X87" i="3"/>
  <c r="X86" i="3"/>
  <c r="W86" i="3"/>
  <c r="X85" i="3"/>
  <c r="W85" i="3"/>
  <c r="W84" i="3"/>
  <c r="W83" i="3"/>
  <c r="X83" i="3"/>
  <c r="W81" i="3"/>
  <c r="X81" i="3"/>
  <c r="X80" i="3"/>
  <c r="W80" i="3"/>
  <c r="W78" i="3"/>
  <c r="W77" i="3"/>
  <c r="X76" i="3"/>
  <c r="W76" i="3"/>
  <c r="X74" i="3"/>
  <c r="W74" i="3"/>
  <c r="X73" i="3"/>
  <c r="W73" i="3"/>
  <c r="X72" i="3"/>
  <c r="W72" i="3"/>
  <c r="W69" i="3"/>
  <c r="X69" i="3"/>
  <c r="W68" i="3"/>
  <c r="X68" i="3"/>
  <c r="W67" i="3"/>
  <c r="X67" i="3"/>
  <c r="W66" i="3"/>
  <c r="X66" i="3"/>
  <c r="W65" i="3"/>
  <c r="X65" i="3"/>
  <c r="W64" i="3"/>
  <c r="X64" i="3"/>
  <c r="W63" i="3"/>
  <c r="X63" i="3"/>
  <c r="W62" i="3"/>
  <c r="X62" i="3"/>
  <c r="W61" i="3"/>
  <c r="X61" i="3"/>
  <c r="W60" i="3"/>
  <c r="X59" i="3"/>
  <c r="W59" i="3"/>
  <c r="W57" i="3"/>
  <c r="X57" i="3"/>
  <c r="W56" i="3"/>
  <c r="X56" i="3"/>
  <c r="X53" i="3"/>
  <c r="W53" i="3"/>
  <c r="X52" i="3"/>
  <c r="W52" i="3"/>
  <c r="W50" i="3"/>
  <c r="X50" i="3"/>
  <c r="W49" i="3"/>
  <c r="X49" i="3"/>
  <c r="W47" i="3"/>
  <c r="X47" i="3"/>
  <c r="W46" i="3"/>
  <c r="X46" i="3"/>
  <c r="W45" i="3"/>
  <c r="X45" i="3"/>
  <c r="X44" i="3"/>
  <c r="W44" i="3"/>
  <c r="X43" i="3"/>
  <c r="W43" i="3"/>
  <c r="W42" i="3"/>
  <c r="X42" i="3"/>
  <c r="W41" i="3"/>
  <c r="X41" i="3"/>
  <c r="W40" i="3"/>
  <c r="X40" i="3"/>
  <c r="W39" i="3"/>
  <c r="X39" i="3"/>
  <c r="W38" i="3"/>
  <c r="X38" i="3"/>
  <c r="X37" i="3"/>
  <c r="W37" i="3"/>
  <c r="W36" i="3"/>
  <c r="X36" i="3"/>
  <c r="W35" i="3"/>
  <c r="X35" i="3"/>
  <c r="W34" i="3"/>
  <c r="X34" i="3"/>
  <c r="W33" i="3"/>
  <c r="X33" i="3"/>
  <c r="W32" i="3"/>
  <c r="X32" i="3"/>
  <c r="X31" i="3"/>
  <c r="W31" i="3"/>
  <c r="W30" i="3"/>
  <c r="X30" i="3"/>
  <c r="W29" i="3"/>
  <c r="X29" i="3"/>
  <c r="W28" i="3"/>
  <c r="X28" i="3"/>
  <c r="W27" i="3"/>
  <c r="X27" i="3"/>
  <c r="W26" i="3"/>
  <c r="X26" i="3"/>
  <c r="X25" i="3"/>
  <c r="W25" i="3"/>
  <c r="W24" i="3"/>
  <c r="X24" i="3"/>
  <c r="X23" i="3"/>
  <c r="W22" i="3"/>
  <c r="W21" i="3"/>
  <c r="X21" i="3"/>
  <c r="X20" i="3"/>
  <c r="W19" i="3"/>
  <c r="X19" i="3"/>
  <c r="W18" i="3"/>
  <c r="X18" i="3"/>
  <c r="W17" i="3"/>
  <c r="X17" i="3"/>
  <c r="W16" i="3"/>
  <c r="X16" i="3"/>
  <c r="X15" i="3"/>
  <c r="W14" i="3"/>
  <c r="X14" i="3"/>
  <c r="W13" i="3"/>
  <c r="X13" i="3"/>
  <c r="W11" i="3"/>
  <c r="T91" i="1"/>
  <c r="T87" i="1" s="1"/>
  <c r="T84" i="1" s="1"/>
  <c r="P91" i="1"/>
  <c r="J84" i="1"/>
  <c r="H84" i="1"/>
  <c r="G84" i="1"/>
  <c r="F84" i="1"/>
  <c r="P71" i="1"/>
  <c r="AV71" i="1" l="1"/>
  <c r="AB71" i="1"/>
  <c r="P87" i="1"/>
  <c r="AV87" i="1" s="1"/>
  <c r="AV91" i="1"/>
  <c r="AC91" i="1"/>
  <c r="AC87" i="1"/>
  <c r="P69" i="1"/>
  <c r="AC71" i="1"/>
  <c r="AI14" i="1"/>
  <c r="AH84" i="1"/>
  <c r="X11" i="3"/>
  <c r="Y11" i="3" s="1"/>
  <c r="X77" i="3"/>
  <c r="Y77" i="3" s="1"/>
  <c r="X84" i="3"/>
  <c r="Y84" i="3" s="1"/>
  <c r="X79" i="3"/>
  <c r="S10" i="3"/>
  <c r="W55" i="3"/>
  <c r="Y18" i="3"/>
  <c r="S11" i="1"/>
  <c r="E11" i="1"/>
  <c r="F11" i="1"/>
  <c r="J11" i="1"/>
  <c r="G11" i="1"/>
  <c r="Y64" i="3"/>
  <c r="Y117" i="3"/>
  <c r="O122" i="3"/>
  <c r="X78" i="3"/>
  <c r="Y78" i="3" s="1"/>
  <c r="Y68" i="3"/>
  <c r="Y80" i="3"/>
  <c r="Y85" i="3"/>
  <c r="Y100" i="3"/>
  <c r="Y104" i="3"/>
  <c r="Y106" i="3"/>
  <c r="Y110" i="3"/>
  <c r="Y114" i="3"/>
  <c r="Y115" i="3"/>
  <c r="Y27" i="3"/>
  <c r="Y34" i="3"/>
  <c r="Y38" i="3"/>
  <c r="Y41" i="3"/>
  <c r="Y43" i="3"/>
  <c r="Y52" i="3"/>
  <c r="L122" i="3"/>
  <c r="Y83" i="3"/>
  <c r="Y92" i="3"/>
  <c r="Y49" i="3"/>
  <c r="Y19" i="3"/>
  <c r="Y37" i="3"/>
  <c r="Y102" i="3"/>
  <c r="Y107" i="3"/>
  <c r="Y109" i="3"/>
  <c r="Y113" i="3"/>
  <c r="Y25" i="3"/>
  <c r="Y30" i="3"/>
  <c r="I82" i="3"/>
  <c r="W82" i="3" s="1"/>
  <c r="Y69" i="3"/>
  <c r="Y86" i="3"/>
  <c r="Y87" i="3"/>
  <c r="Y90" i="3"/>
  <c r="Y118" i="3"/>
  <c r="Y14" i="3"/>
  <c r="Y23" i="3"/>
  <c r="Y24" i="3"/>
  <c r="Y32" i="3"/>
  <c r="Y44" i="3"/>
  <c r="Y46" i="3"/>
  <c r="Y89" i="3"/>
  <c r="Y93" i="3"/>
  <c r="Y112" i="3"/>
  <c r="Y121" i="3"/>
  <c r="Y26" i="3"/>
  <c r="Y57" i="3"/>
  <c r="Y59" i="3"/>
  <c r="Y65" i="3"/>
  <c r="Y81" i="3"/>
  <c r="Y88" i="3"/>
  <c r="Y96" i="3"/>
  <c r="M122" i="3"/>
  <c r="Y13" i="3"/>
  <c r="Y20" i="3"/>
  <c r="Y21" i="3"/>
  <c r="J122" i="3"/>
  <c r="N122" i="3"/>
  <c r="Y15" i="3"/>
  <c r="Y35" i="3"/>
  <c r="Y36" i="3"/>
  <c r="Y39" i="3"/>
  <c r="Y40" i="3"/>
  <c r="Y47" i="3"/>
  <c r="Y56" i="3"/>
  <c r="Y61" i="3"/>
  <c r="Y66" i="3"/>
  <c r="Y67" i="3"/>
  <c r="Y74" i="3"/>
  <c r="Y91" i="3"/>
  <c r="Y95" i="3"/>
  <c r="Y108" i="3"/>
  <c r="Y111" i="3"/>
  <c r="Y16" i="3"/>
  <c r="Y17" i="3"/>
  <c r="Y28" i="3"/>
  <c r="Y29" i="3"/>
  <c r="Y31" i="3"/>
  <c r="Y33" i="3"/>
  <c r="Y42" i="3"/>
  <c r="Y45" i="3"/>
  <c r="Y50" i="3"/>
  <c r="Y53" i="3"/>
  <c r="W58" i="3"/>
  <c r="Y62" i="3"/>
  <c r="Y63" i="3"/>
  <c r="Y72" i="3"/>
  <c r="Y73" i="3"/>
  <c r="Y76" i="3"/>
  <c r="Y94" i="3"/>
  <c r="Y98" i="3"/>
  <c r="Y101" i="3"/>
  <c r="Y103" i="3"/>
  <c r="Y105" i="3"/>
  <c r="Y116" i="3"/>
  <c r="Y99" i="3"/>
  <c r="X22" i="3"/>
  <c r="Y22" i="3" s="1"/>
  <c r="K122" i="3"/>
  <c r="X60" i="3"/>
  <c r="Y60" i="3" s="1"/>
  <c r="H11" i="1"/>
  <c r="L11" i="1"/>
  <c r="Q11" i="1"/>
  <c r="R11" i="1"/>
  <c r="O11" i="1"/>
  <c r="T11" i="1"/>
  <c r="M11" i="1"/>
  <c r="T71" i="1"/>
  <c r="AJ69" i="1" l="1"/>
  <c r="AV69" i="1"/>
  <c r="AB69" i="1"/>
  <c r="P84" i="1"/>
  <c r="S124" i="3"/>
  <c r="AC69" i="1"/>
  <c r="P65" i="1"/>
  <c r="AH14" i="1"/>
  <c r="W12" i="3"/>
  <c r="X82" i="3"/>
  <c r="Y82" i="3" s="1"/>
  <c r="I79" i="3"/>
  <c r="I75" i="3" s="1"/>
  <c r="W75" i="3" s="1"/>
  <c r="X12" i="3"/>
  <c r="X55" i="3"/>
  <c r="Y55" i="3" s="1"/>
  <c r="I11" i="1"/>
  <c r="AH11" i="1" s="1"/>
  <c r="P11" i="1" l="1"/>
  <c r="AV65" i="1"/>
  <c r="AC84" i="1"/>
  <c r="AV84" i="1"/>
  <c r="AI65" i="1"/>
  <c r="AC65" i="1"/>
  <c r="AD65" i="1"/>
  <c r="W79" i="3"/>
  <c r="Y79" i="3" s="1"/>
  <c r="Y12" i="3"/>
  <c r="AI84" i="1"/>
  <c r="X75" i="3"/>
  <c r="W54" i="3"/>
  <c r="X58" i="3"/>
  <c r="Y58" i="3" s="1"/>
  <c r="S75" i="3"/>
  <c r="K11" i="1"/>
  <c r="AD84" i="1"/>
  <c r="AI11" i="1" l="1"/>
  <c r="AC9" i="1"/>
  <c r="AD11" i="1"/>
  <c r="X54" i="3"/>
  <c r="Y54" i="3" s="1"/>
  <c r="T54" i="3"/>
  <c r="I122" i="3"/>
  <c r="Y75" i="3"/>
  <c r="P122" i="3"/>
  <c r="W122" i="3" l="1"/>
  <c r="X122" i="3"/>
  <c r="Y122" i="3" l="1"/>
  <c r="AD12" i="1"/>
</calcChain>
</file>

<file path=xl/sharedStrings.xml><?xml version="1.0" encoding="utf-8"?>
<sst xmlns="http://schemas.openxmlformats.org/spreadsheetml/2006/main" count="1385" uniqueCount="536">
  <si>
    <t xml:space="preserve">ОТЧЕТ </t>
  </si>
  <si>
    <t>об исполнении финансирования государственной программы Краснодарского края</t>
  </si>
  <si>
    <t>"Социальная поддержка граждан"</t>
  </si>
  <si>
    <t xml:space="preserve">наименование государственной программы </t>
  </si>
  <si>
    <t>Номер  мероп-риятия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</si>
  <si>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</si>
  <si>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</si>
  <si>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</si>
  <si>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</si>
  <si>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Непосредственный результат реализации мероприятия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</si>
  <si>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</si>
  <si>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</si>
  <si>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</si>
  <si>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</si>
  <si>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</si>
  <si>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</si>
  <si>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r>
      <t>краевой бюджет</t>
    </r>
    <r>
      <rPr>
        <i/>
        <vertAlign val="superscript"/>
        <sz val="28"/>
        <rFont val="Times New Roman"/>
        <family val="1"/>
        <charset val="204"/>
      </rPr>
      <t>6)</t>
    </r>
  </si>
  <si>
    <t>местный бюджет</t>
  </si>
  <si>
    <t>внебюджетные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</si>
  <si>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</si>
  <si>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</si>
  <si>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</si>
  <si>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</si>
  <si>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</t>
  </si>
  <si>
    <t>ВСЕГО 
по государственной программе, в том числе:</t>
  </si>
  <si>
    <t>Х</t>
  </si>
  <si>
    <t>Всего
по основным мероприятиям государственной программы, в том числе:</t>
  </si>
  <si>
    <t>1.1.1.1</t>
  </si>
  <si>
    <t>Финансовое обеспечение деятельности министерства труда и социального развития  Краснодарского края и управлений социальной защиты населения министерства  труда и социального развития Краснодарского края в муниципальных образованиях Краснодарского края</t>
  </si>
  <si>
    <t>министерство труда и социального развития Краснодарского края</t>
  </si>
  <si>
    <t>1.</t>
  </si>
  <si>
    <t>Всего по подпрограмме , "Развитие мер социальной поддержки отдельных категорий граждан" в том числе:</t>
  </si>
  <si>
    <t xml:space="preserve">Пенсии за выслугу лет лицам, замещавшим должности государственной гражданской службы Краснодарского края </t>
  </si>
  <si>
    <t>человек</t>
  </si>
  <si>
    <t>выполнено</t>
  </si>
  <si>
    <t>1.1.1.2</t>
  </si>
  <si>
    <t>1.1.1.3</t>
  </si>
  <si>
    <t>Дополнительное материальное обеспечение лиц, замещавших государственные должности Краснодарского края</t>
  </si>
  <si>
    <t>1.1.2.2</t>
  </si>
  <si>
    <t>1.1.2.3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</si>
  <si>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пунктами 1.1.2.2 и 1.1.3.3 настоящего раздела)</t>
  </si>
  <si>
    <t>1.1.2.4</t>
  </si>
  <si>
    <t>Предоставление гражданам государственных единовременных пособий и ежемесячных денежных компенсаций  при возникновении поствакцинальных осложнений</t>
  </si>
  <si>
    <t>1.1.2.5</t>
  </si>
  <si>
    <t>1.3</t>
  </si>
  <si>
    <t>1.1.3.2</t>
  </si>
  <si>
    <t>семей</t>
  </si>
  <si>
    <t>1.1.3.3</t>
  </si>
  <si>
    <t>1.1.3.4</t>
  </si>
  <si>
    <t>1.1.3.5</t>
  </si>
  <si>
    <t>1.1.4.1</t>
  </si>
  <si>
    <t>1.1.4.2</t>
  </si>
  <si>
    <t>1.1.4.3</t>
  </si>
  <si>
    <t>Социальная поддержка инвалидов боевых действий и членов семьи военнослужащих, погибщих при исполнении воинского долга</t>
  </si>
  <si>
    <t>1.5</t>
  </si>
  <si>
    <t>1.1.5.2</t>
  </si>
  <si>
    <t>1.1.5.4</t>
  </si>
  <si>
    <t>1.1.5.5</t>
  </si>
  <si>
    <t>1.1.6.1</t>
  </si>
  <si>
    <t>Предоставление  лицу, взявшему на себя 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</si>
  <si>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>1.1.6.2</t>
  </si>
  <si>
    <t>Возмещение лицу, взявшему на себя обязательства осуществлять погребение, затрат,связанных с погребением умерших реабилитированных лиц</t>
  </si>
  <si>
    <t>1.1.7.2</t>
  </si>
  <si>
    <t>Предоставление единовременной денежной выплаты лицам, награжденным орденом                                                                  "За выдающийся вклад в развитие кубанского казачества"</t>
  </si>
  <si>
    <t>1.1.7.3</t>
  </si>
  <si>
    <t>1.1.7.5</t>
  </si>
  <si>
    <t>1.1.7.6</t>
  </si>
  <si>
    <t>1.1.7.7</t>
  </si>
  <si>
    <t>1.1.8.2</t>
  </si>
  <si>
    <t>1.1.8.3</t>
  </si>
  <si>
    <t>1.1.8.5</t>
  </si>
  <si>
    <t>тыс. чел.</t>
  </si>
  <si>
    <t>1.1.8.6</t>
  </si>
  <si>
    <t>тыс.штук</t>
  </si>
  <si>
    <t>1.1.9.2</t>
  </si>
  <si>
    <t>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</t>
  </si>
  <si>
    <t>1.1.10.3</t>
  </si>
  <si>
    <t>1.1.10.4</t>
  </si>
  <si>
    <t xml:space="preserve">человек </t>
  </si>
  <si>
    <t>2.</t>
  </si>
  <si>
    <t>Всего по подпрограмме  "Модернизация и развитие социального обслуживания населения" в  том числе:</t>
  </si>
  <si>
    <t>1.1.1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</si>
  <si>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</si>
  <si>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</si>
  <si>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1.1.1.2.1</t>
  </si>
  <si>
    <t>предоставление субсидий государственным бюджетным и автономным учреждениям</t>
  </si>
  <si>
    <t>1.1.2.1</t>
  </si>
  <si>
    <t xml:space="preserve"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 </t>
  </si>
  <si>
    <t>1.1.2.1.1</t>
  </si>
  <si>
    <t>казенные учреждения</t>
  </si>
  <si>
    <t>учреждений</t>
  </si>
  <si>
    <t>1.1.2.1.2</t>
  </si>
  <si>
    <t>предоставление субсидий государственным бюджетным и автономным учреждениям, в том числе:</t>
  </si>
  <si>
    <t>1.1.2.1.2.1</t>
  </si>
  <si>
    <t>на финансовое обеспечение выполнения ими государственного задания</t>
  </si>
  <si>
    <t>1.1.2.1.2.2</t>
  </si>
  <si>
    <t>на осуществление капитального ремонта</t>
  </si>
  <si>
    <t>1.1.2.1.2.3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</si>
  <si>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числе:мебелью,                                         оборудованием для психологической поддержки, медицинским, компьютерным, технологическим,  бытовым, пищевым, прачечным, реабилитационным оборудованием (приобретение, монтаж, пусконаладочные работы)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</si>
  <si>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</si>
  <si>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 xml:space="preserve"> транспортные средства </t>
  </si>
  <si>
    <t>1.1.3.6</t>
  </si>
  <si>
    <t>компьютерных мест</t>
  </si>
  <si>
    <t>1.1.3.7</t>
  </si>
  <si>
    <t>Предоставление субсидий государственным бюджетным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</t>
  </si>
  <si>
    <t>1.1.3.8</t>
  </si>
  <si>
    <t>Предоставление субсидий государственным и автономным учреждениям на организацию приемной семьи для граждан пожилого возраста и инвалидов</t>
  </si>
  <si>
    <t>1.1.3.9</t>
  </si>
  <si>
    <t xml:space="preserve">технические средства </t>
  </si>
  <si>
    <t>1.1.3.13</t>
  </si>
  <si>
    <t>транспортных средства</t>
  </si>
  <si>
    <t>3</t>
  </si>
  <si>
    <t xml:space="preserve"> Всего по подпрограмме "Совершенствование социальной поддержки семьи и детей" в том числе: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</si>
  <si>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</t>
  </si>
  <si>
    <t>1.1.1.3.1</t>
  </si>
  <si>
    <t>1.1.1.3.2</t>
  </si>
  <si>
    <t>предоставление субсидий государственным  бюджетным и автономным учреждениям, в том числе:</t>
  </si>
  <si>
    <t>1.1.1.3.2.1</t>
  </si>
  <si>
    <t>1.1.1.3.2.2</t>
  </si>
  <si>
    <t>1.1.1.3.2.3</t>
  </si>
  <si>
    <t xml:space="preserve">Выплата пособия на ребенка в соответствии с Законом Краснодарского края от 15 декабря 2004 г.                                                                  № 807-КЗ "О пособии на ребенка"    
</t>
  </si>
  <si>
    <t>1.1.2.6</t>
  </si>
  <si>
    <t>1.1.2.9</t>
  </si>
  <si>
    <t>1.1.2.10</t>
  </si>
  <si>
    <t>Выплата единовременного денежного поощрения награжденным медалью Краснодарского края "Родительская доблесть"</t>
  </si>
  <si>
    <t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</t>
  </si>
  <si>
    <t>Ежегодная денежная выплата многодетным семьям</t>
  </si>
  <si>
    <t>Выплата единовременного пособия при всех формах устройства детей, лишенных родительского попечения, в семью</t>
  </si>
  <si>
    <t>Предоставление меры социальной поддержки в виде  материнского (семейного) капитала в рамках регионального проекта "Финансовая поддержка семей при рождении детей"</t>
  </si>
  <si>
    <t>штук</t>
  </si>
  <si>
    <t>1.1.4.4</t>
  </si>
  <si>
    <t>1.1.4.5</t>
  </si>
  <si>
    <t>1.1.4.6</t>
  </si>
  <si>
    <t>1.1.4.7</t>
  </si>
  <si>
    <t>1.1.4.8</t>
  </si>
  <si>
    <t>1.1.5.1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</si>
  <si>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 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</si>
  <si>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>ОТЧЕТ</t>
  </si>
  <si>
    <t>о достижении целевых показателей государственной программы Краснодарского края</t>
  </si>
  <si>
    <t>Номер целевого показателя</t>
  </si>
  <si>
    <t>Наименование целевого показателя</t>
  </si>
  <si>
    <t>Единица измерения</t>
  </si>
  <si>
    <t>Причины недостижения фактического значения показателя в отчетном периоде</t>
  </si>
  <si>
    <t>текущий отчетный период</t>
  </si>
  <si>
    <t>факт</t>
  </si>
  <si>
    <t>план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</si>
  <si>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</si>
  <si>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</si>
  <si>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</si>
  <si>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</si>
  <si>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</si>
  <si>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</si>
  <si>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</si>
  <si>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</si>
  <si>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</si>
  <si>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</si>
  <si>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</si>
  <si>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</si>
  <si>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1.7</t>
  </si>
  <si>
    <t>Доля государственных бюджетных (автономных, казенных) учреждений социального обслуживания, подведомственных министерству труда и социального развития Краснодарского края, в отношении которых проведена независимая оценка качества оказания услуг, от общего их количества</t>
  </si>
  <si>
    <t>1.8</t>
  </si>
  <si>
    <t xml:space="preserve">Удельный расход электрической энергии на снабжение государственных учреждений
</t>
  </si>
  <si>
    <t xml:space="preserve">кВт-ч/кв. м
</t>
  </si>
  <si>
    <t>1.9</t>
  </si>
  <si>
    <t xml:space="preserve">Удельный расход тепловой энергии на снабжение государственных учреждений
</t>
  </si>
  <si>
    <t xml:space="preserve">Гкал/кв. м
</t>
  </si>
  <si>
    <t xml:space="preserve">  1.10
</t>
  </si>
  <si>
    <t xml:space="preserve">Удельный расход холодной воды на снабжение государственных учреждений
</t>
  </si>
  <si>
    <t xml:space="preserve">куб. м/кв. м
</t>
  </si>
  <si>
    <t xml:space="preserve"> 1.11
</t>
  </si>
  <si>
    <t xml:space="preserve">Доля светодиодных источников света в освещении зданий от общего количества источников света в зданиях
</t>
  </si>
  <si>
    <t xml:space="preserve">%
</t>
  </si>
  <si>
    <t>1.12</t>
  </si>
  <si>
    <t xml:space="preserve">Доля зданий, строений, сооружений, оснащенных индивидуальными тепловыми пунктами с автоматическим регулированием температуры теплоносителя, находящихся на праве оперативного управления или ином законном основании, от общего количества указанных зданий, строений, сооружений
</t>
  </si>
  <si>
    <t>1.13</t>
  </si>
  <si>
    <t xml:space="preserve">Удовлетворенность получателей социальных услуг в оказанных социальных услугах, процентов
</t>
  </si>
  <si>
    <t>1.14</t>
  </si>
  <si>
    <t xml:space="preserve">Доля населения с денежными доходами ниже величины прожиточного минимума в Краснодарском крае в общей численности населения Краснодарского края, процентов
</t>
  </si>
  <si>
    <t>2.1</t>
  </si>
  <si>
    <t>Подпрограмма   «Развитие мер социальной поддержки отдельных категорий граждан»</t>
  </si>
  <si>
    <t>2.1.3</t>
  </si>
  <si>
    <t xml:space="preserve">Доля граждан, получивших меры социальной поддержки, в общей численности граждан, имеющих право на их получение и обратившихся за их получением
</t>
  </si>
  <si>
    <t>2.2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</si>
  <si>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</si>
  <si>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</si>
  <si>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</si>
  <si>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2.2.2</t>
  </si>
  <si>
    <t>Количество граждан пожилого возраста и инвалидов, пользующихся услугами сиделок</t>
  </si>
  <si>
    <t>2.2.3</t>
  </si>
  <si>
    <t>Количество выданных технических средств реабилитации (ТСР)</t>
  </si>
  <si>
    <t>единиц</t>
  </si>
  <si>
    <t>2.2.4</t>
  </si>
  <si>
    <t>Количество граждан, прошедших обучение в школе по уходу</t>
  </si>
  <si>
    <t>2.3</t>
  </si>
  <si>
    <t>Подпрограмма «Совершенствование социальной поддержки семьи и детей»</t>
  </si>
  <si>
    <t>2.3.1</t>
  </si>
  <si>
    <t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- социально-реабилитационных центрах для несовершеннолетних, нуждающихся в социальной реабилитации)</t>
  </si>
  <si>
    <t>2.3.2</t>
  </si>
  <si>
    <t>Суммарный коэффициент рождаемости
(число детей на одну женщину)</t>
  </si>
  <si>
    <t>2.3.3</t>
  </si>
  <si>
    <t>Коэффициент рождаемости в Краснодарском крае возрастной группе 25-29 лет (число родившихся на 1000 женщин соответствующего возраста)</t>
  </si>
  <si>
    <t>2.3.4</t>
  </si>
  <si>
    <t>Коэффициент рождаемости в Краснодарском крае возрастной группе 30-34 лет (число родившихся на 1000 женщин соответствующего возраста)</t>
  </si>
  <si>
    <t xml:space="preserve">                                          </t>
  </si>
  <si>
    <t xml:space="preserve">  о выполнении плана реализации</t>
  </si>
  <si>
    <t xml:space="preserve">                                            </t>
  </si>
  <si>
    <t xml:space="preserve">              государственной программы Краснодарского края "Социальная поддержка граждан"</t>
  </si>
  <si>
    <t xml:space="preserve">                                                     </t>
  </si>
  <si>
    <t xml:space="preserve">Номер основного мероприятия, контрольного события, мероприятия </t>
  </si>
  <si>
    <t>Наименование подпрограммы, отдельного мероприятия, ведомственной целевой программы,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</si>
  <si>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</si>
  <si>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</si>
  <si>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Плановый срок начала реализации мероприятия</t>
  </si>
  <si>
    <t xml:space="preserve">Плановый срок окончания реализации мероприятия, наступления контрольного события </t>
  </si>
  <si>
    <t xml:space="preserve">Фактический срок начала реализации мероприятия </t>
  </si>
  <si>
    <t xml:space="preserve">Фактический срок окончания реализации мероприятия              наступления контрольного события </t>
  </si>
  <si>
    <t>Поквартальное распределение прогноза кассовых выплат из краевого бюджета, тыс.рублей</t>
  </si>
  <si>
    <t>I</t>
  </si>
  <si>
    <t>II</t>
  </si>
  <si>
    <t>III</t>
  </si>
  <si>
    <t>IV</t>
  </si>
  <si>
    <t xml:space="preserve">Основное мерориятие </t>
  </si>
  <si>
    <t xml:space="preserve">31.12.2019
</t>
  </si>
  <si>
    <t>Подпрограмма № 1 "Развитие мер социальной поддержки отдельных категорий граждан"</t>
  </si>
  <si>
    <t>Пособия отдельным категориям работников Краснодарского края в соответствии с Законом Краснодарского края от 21 июля 2005 г.                                                                  № 921-КЗ                                           "О государственной поддержке отдельных категорий работников Краснодарского края"</t>
  </si>
  <si>
    <t>Дополнительное; материальное обеспечение лиц, замещавших государственные должности Краснодарского края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</si>
  <si>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</t>
  </si>
  <si>
    <t>Предоставление гражданам государственных единовременных пособий и ежемесячных денежных компенсаций при возникновении поствакцинальных осложнений</t>
  </si>
  <si>
    <t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– жителям  Краснодарского края</t>
  </si>
  <si>
    <t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 процентов от совокупного дохода семьи</t>
  </si>
  <si>
    <t>Предоставление мер социальной поддержки отдельным категориям граждан, проживающим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                                                                                от 28 декабря 2015 г.                             № 3316-КЗ "О мерах,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</t>
  </si>
  <si>
    <t xml:space="preserve"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                                                                                                          от 5 ноября 2002 г.                                    № 537-КЗ                                            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  </t>
  </si>
  <si>
    <t>Социальная поддержка инвалидов боевых действий и членов семей военнослужащих, погибших при исполнении воинского долга</t>
  </si>
  <si>
    <t>Возмещение лицу, взявшему на себя обязательства осуществлять погребение, затрат, связанных с погребением умерших реабилитированных лиц</t>
  </si>
  <si>
    <t>Предоставление единовременной денежной выплаты лицам, награжденным орденом "За выдающийся вклад в развитие кубанского казачества"</t>
  </si>
  <si>
    <t>Предоставление пособий на оплату проезда лицам, нуждающимся в проведении гемодиализа в соответствии с Законом Краснодарского края                                                                                                                          от 6 февраля 2008 г.                                                                                        № 1388-КЗ "О выплате пособий на оплату проезда лицам, нуждающимся в проведении гемодиализа"</t>
  </si>
  <si>
    <t xml:space="preserve">Контрольное событие 1.2
Оказание мер социальной поддержки отдельным категориям граждан
</t>
  </si>
  <si>
    <t>Подпрограмма № 2 "Модернизация и развитие социального обслуживания населения"</t>
  </si>
  <si>
    <t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</si>
  <si>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повышающими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</t>
  </si>
  <si>
    <t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</si>
  <si>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</si>
  <si>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>Предоставление субсидий государственным бюджетным и автономным учреждениям на организацию социального туризма для граждан пожилого возраста: и (или) инвалидов: проведение экскурсий, посещение памятных мест, учреждений культуры, исторических памятников</t>
  </si>
  <si>
    <t>Предоставление субсидий государственным бюджетным и автономным учреждениям на организацию приемной семьи для граждан пожилого возраста и инвалидов</t>
  </si>
  <si>
    <t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 социального развития Краснодарского края</t>
  </si>
  <si>
    <t xml:space="preserve">Контрольное событие 2.1
Рост соотношения средней заработной платы социальных работников государственных учреждений,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
</t>
  </si>
  <si>
    <t xml:space="preserve">начальник планово-финансового отдела 
Печонова Е.И.
</t>
  </si>
  <si>
    <t>3.</t>
  </si>
  <si>
    <t>Подпрограмма № 3 "Совершенствование социальной поддержки семьи и детей"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</si>
  <si>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</si>
  <si>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</si>
  <si>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</t>
  </si>
  <si>
    <t>Ежегоная денежная выплата многодетным семьям</t>
  </si>
  <si>
    <t>Предоставление меры социальной поддержки в виде  материнского (семейного) капитала в рамках регионального проекта Краснодарского края"Финансовая поддержка семей при рождении детей"</t>
  </si>
  <si>
    <t>Изготовление бланков удостоверений многодетной семье</t>
  </si>
  <si>
    <t>Предоставление субвенций местным бюджетам муниципальных образований Краснодарского края в соответствии с Законом Краснодарского края                                                от 15 декабря 2004 г.                                 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</si>
  <si>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Предоставление субвенций местным: бюджетам муниципальных образований Краснодарского края в соответствии с Законом Краснодарского края                                          от 29 декабря 2007 г.                                                        № 1372-КЗ                                                 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осуществления отдельных государственных полномочий
по организации и осуществлению деятельности по опеке и попечительству в отношении несовершеннолетних, за исключением полномочий по  формированию и ведению регионального банка данных о детях, оставшихся без попечения родителей, полномочий по психолого-педагогической и правовой подготовке граждан, выразивших желание принять на воспитание в свою семью ребенка, оставшегося без попечения родителей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</si>
  <si>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                              от 13 ноября 2006 г.                                                                                                                                                      № 1132-КЗ                                                                                                                                                                                                                                                                   "О комиссиях по делам несовершеннолетних и защите их прав в Краснодарском крае" 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</si>
  <si>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</si>
  <si>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 xml:space="preserve">Контрольное 
событие 3.1
Реализация мер социальной поддержки детей-сирот и детей, оставшихся без попечения родителей
</t>
  </si>
  <si>
    <t xml:space="preserve">Контрольное 
событие 3.2
Оказание мер социальной поддержки гражданам, имеющим детей 
</t>
  </si>
  <si>
    <t>Итого по государственной программе:</t>
  </si>
  <si>
    <t xml:space="preserve">Предоставление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 края от 5 мая 2006 г. № 1026-КЗ "О статусе Героев Кубани и Героев труда Кубани" </t>
  </si>
  <si>
    <t xml:space="preserve">Осуществление ежемесячной выплаты в связи с рождением (усыновлением) первого ребенка в соответствии с Федеральным законом от 28 декабря 2017 г.                                                     № 418-ФЗ "О ежемесячных выплатах семьям, имеющим детей» в рамках регионального проекта Краснодарского края "Финансовая поддержка семей при рождении детей"                                                                                                   </t>
  </si>
  <si>
    <t>Начальник отдела реализации национальных проектов и государственных программ</t>
  </si>
  <si>
    <t>О.Г. Лычагина</t>
  </si>
  <si>
    <t>Предоставление ежегодной денежной выплаты лицам, награжденных нагрудным знаком "Почетный донор России", "Почетный донор СССР" в соответствии с Федеральным законом от 20 июля 2012 г.                                                                      № 125-ФЗ "О донорстве крови и ее компонентов"</t>
  </si>
  <si>
    <t xml:space="preserve"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
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 </t>
  </si>
  <si>
    <t>Предоставление субвенций местным бюджетам муниципальных, образований Краснодарского края в соответствии с Законом Краснодарского края                                                                    от 15 декабря 2004 г.                                                               № 805-КЗ "О наделении 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</si>
  <si>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 xml:space="preserve">Начальник отдела реализации национальных                                                                 проектов и государственных программ                                                     </t>
  </si>
  <si>
    <t xml:space="preserve">Предоставление ежемесячной денежной выплаты гражданам, удостоенным званий Героев Кубани и Героев труда Кубани и единовременных денежных выплат в соответствии с частями 1 и 3 статьи 6 и статьей 7 Закона Краснодарского края                                                                             от 5 мая 2006 г. № 1026-КЗ "О статусе Героев Кубани и Героев труда Кубани" </t>
  </si>
  <si>
    <t>2.3.5</t>
  </si>
  <si>
    <t>2.3.7</t>
  </si>
  <si>
    <t>2.3.6</t>
  </si>
  <si>
    <t>Суммарный коэффициент рождаемости вторых детей</t>
  </si>
  <si>
    <t>Суммарный коэффициент рождаемости третьих и последующих детей</t>
  </si>
  <si>
    <t>Коэффициент рождаемости в возрасте 35 - 39 лет</t>
  </si>
  <si>
    <t>1.1.11.1</t>
  </si>
  <si>
    <t>Предоставление единовременной денежной выплаты на улучшение жилищных условий граждан, имеющих право на меры социальной поддержки в соответствии со статьями 14,15,21 (в части предоставления мер социальной поддержки членам семьи погибшим (умерших) инвалидов и участников Великой Отечественной войны) Федерального закона "О ветеранах"</t>
  </si>
  <si>
    <t>Выплата компенсаций в виде субсидий за предоставление социальных услуг (оказываемых гражданам старших возрастов, инвалидам, включая детей 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</t>
  </si>
  <si>
    <t>43</t>
  </si>
  <si>
    <t>8247</t>
  </si>
  <si>
    <t>Заключено государственных и муниципальных контрактов на отчетную дату, тыс. рублей</t>
  </si>
  <si>
    <t>Объем финансирования, предусмотренный государственной программой на текущий год, тыс. рублей</t>
  </si>
  <si>
    <t>Показатель расчитывается Федеральной службой государственной статистики (Росстат) ежегодно, 1-я оценка (предварительная) - 15 марта; 2-я оценка (окончательная) - 15 августа.</t>
  </si>
  <si>
    <t xml:space="preserve">09.01.2020
</t>
  </si>
  <si>
    <t xml:space="preserve">31.12.2020
</t>
  </si>
  <si>
    <t xml:space="preserve">09.01.2020 
</t>
  </si>
  <si>
    <t xml:space="preserve">09.01.2020 
</t>
  </si>
  <si>
    <t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                                     № 1457-КЗ "О компенсации расходов, связанных с эксплуатацией транспортных средств, некоторым категориям жителей Краснодарского края"</t>
  </si>
  <si>
    <t xml:space="preserve">01.04.2020 
</t>
  </si>
  <si>
    <t xml:space="preserve">01.07.2020 
</t>
  </si>
  <si>
    <t>х</t>
  </si>
  <si>
    <t>Заявительный порядок обращения. Достижение значения непосредственного результата предусмотрено до конца 2020 г.</t>
  </si>
  <si>
    <t>Достижение значения непосредственного результата предусмотрено до конца 2020 г.</t>
  </si>
  <si>
    <t xml:space="preserve">Заявительный порядок обращения. Достижение значения непосредственного результата предусмотрено до конца 2020 г. </t>
  </si>
  <si>
    <t>достижение показателя запланировано на конец 2020 года</t>
  </si>
  <si>
    <t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 № 1209-КЗ "О ежегодной денежной выплате отдельным категориям граждан, подвергшихся радиационным воздействиям, и их семьям"</t>
  </si>
  <si>
    <t>Предоставление 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 № 1457-КЗ "О компенсации расходов,  связанных с эксплуатацией транспортных средств, некоторым категориям жителей Краснодарского края"</t>
  </si>
  <si>
    <t>1.1.10.2</t>
  </si>
  <si>
    <t>1.1.2.12</t>
  </si>
  <si>
    <t>Ежемесячная денежная выплата на ребенка в возрасте от трех до семи лет включительно</t>
  </si>
  <si>
    <t>2.3.8</t>
  </si>
  <si>
    <t>Доля детей в возрасте от трех до семи лет включительно, в отношении которых произведена ежемесячная денежная выплата, в общей численности детей этого возраста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</si>
  <si>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                       от 29 декабря 2007 г.                                                                                     № 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 оставшихся  без попечения родителей </t>
  </si>
  <si>
    <t>Пономаренко</t>
  </si>
  <si>
    <t>Ролик</t>
  </si>
  <si>
    <t>Чернышева</t>
  </si>
  <si>
    <t>ролик</t>
  </si>
  <si>
    <t>талькова</t>
  </si>
  <si>
    <t>луценко С.В.</t>
  </si>
  <si>
    <t>Луценко С.В.</t>
  </si>
  <si>
    <t>Исаева</t>
  </si>
  <si>
    <t>пономаренко</t>
  </si>
  <si>
    <t>Голыба</t>
  </si>
  <si>
    <t>Босенко</t>
  </si>
  <si>
    <t>Печонова</t>
  </si>
  <si>
    <t>Панченко</t>
  </si>
  <si>
    <t>Шульга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</si>
  <si>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37,8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</si>
  <si>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182,5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</si>
  <si>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13 033,4 тыс. рублей. Освоение запланировано до конца 2020 г.</t>
  </si>
  <si>
    <t>Трунов Денис Михайлович,
+7 (861) 259-22-97</t>
  </si>
  <si>
    <t>Предоставление мер социальной поддержки по обеспечению жильем отдельных категорий граждан, установленных Федеральным законом                  от 12 января 1995 г. № 5-ФЗ «О ветеранах» (пунктом 2 части 3 статьи 23.2), в соответствии с Указом Президента Российской Федерации от 7 мая 2008 г. № 714 «Об обеспечении жильем ветеранов Великой Отечественной войны 1941 - 1945 годов»</t>
  </si>
  <si>
    <t>завершение ремонтно-строительных работ предусмотрено в 3-4 кв. 2020 г.</t>
  </si>
  <si>
    <t xml:space="preserve">начальник 
планово-финансового отдела 
Печонова Е.И.,
начальник отдела организации назначения и выплаты государственных гарантий и компенсаций
Пономаренко Н.Ю.
</t>
  </si>
  <si>
    <t xml:space="preserve">начальник планово-финансового отдела Печонова Е.И.,                          начальник 
отдела организации адресного 
предоставления льгот и субсидий 
Ролик Н.И.
</t>
  </si>
  <si>
    <t xml:space="preserve">начальник 
планово-финансового отдела 
Печонова Е.И.,  начальник 
отдела организации адресного 
предоставления льгот и субсидий 
Ролик Н.И.
</t>
  </si>
  <si>
    <t>управления социальной защиты населения Краснодарского края</t>
  </si>
  <si>
    <t xml:space="preserve">начальник планово-финансового отдела Печонова Е.И.,
начальник отдела организации назначения и выплаты государственных гарантий и компенсаций
Пономаренко Н.Ю.
</t>
  </si>
  <si>
    <t>начальник планово-финансового отдела Печонова Е.И.,
начальник отдела организации назначения и выплаты государственных гарантий и компенсаций
Пономаренко Н.Ю.</t>
  </si>
  <si>
    <t xml:space="preserve">начальник планово-финансового отдела Печонова Е.И.
</t>
  </si>
  <si>
    <t xml:space="preserve">начальник планово-финансового отдела Печонова Е.И.,                            начальник отдела организации 
адресного предоставления льгот и субсидий Ролик Н.И.
</t>
  </si>
  <si>
    <t>начальник планово-финансового отдела Печонова Е.И.,                          начальник отдела организации адресного предоставления льгот и субсидий Ролик Н.И.</t>
  </si>
  <si>
    <t xml:space="preserve">начальник планово-финансового отдела Печонова Е.И.,
начальник отдела организации назначения и выплаты государственных гарантий и компенсаций Пономаренко Н.Ю. 
</t>
  </si>
  <si>
    <t xml:space="preserve">начальник планово-финансового отдела Печонова Е.И.,
начальник отдела организации назначения и выплаты государственных гарантий и компенсаций Пономаренко Н.Ю. 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</si>
  <si>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                   от 7 июня 2004 г. № 719-КЗ                                                                                                                               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</si>
  <si>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 xml:space="preserve">начальник планово-финансового отдела Печонова Е.И.,                          начальник отдела организации 
адресного предоставления льгот и субсидий Ролик Н.И. 
</t>
  </si>
  <si>
    <t xml:space="preserve">начальник планово-финансового отдела Печонова Е.И.,                        начальник отдела организации 
адресного предоставления льгот и субсидий Ролик Н.И.
</t>
  </si>
  <si>
    <t>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</t>
  </si>
  <si>
    <t xml:space="preserve">начальник планово-финансового отдела Печонова Е.И.,                        начальник отдела организации адресного предоставления льгот и субсидий Ролик Н.И. 
</t>
  </si>
  <si>
    <t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              № 4015-КЗ "О ежемесячной вы-плате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</t>
  </si>
  <si>
    <t xml:space="preserve">начальник планово-финансового отдела Печонова Е.И.,                        начальник отдела организации 
адресного предоставления льгот и субсидий Ролик Н.И. 
</t>
  </si>
  <si>
    <t xml:space="preserve">Предоставление дополнительной меры социальной поддержки  по оплате проезда на автомобильном транспорте общего пользования в междугородном сообщении и поездах дальнего следования
к месту реабилитации (туда и обратно) инвалидам по зрению и лицам, сопровождающим инва-лидов по зрению                              1 группы, при их сопровождении 
к месту реабилитации (туда и обратно) и от места реабилитации (туда и обратно)
</t>
  </si>
  <si>
    <t xml:space="preserve">начальник планово-финансового отдела Печонова Е.И.,                           начальник отдела организации 
адресного предоставления льгот и субсидий Ролик Н.И. </t>
  </si>
  <si>
    <t xml:space="preserve">начальник планово-финансового отдела Печонова Е.И.,                        начальник отдела организации 
адресного предоставления льгот и субсидий Ролик Н.И. </t>
  </si>
  <si>
    <t xml:space="preserve">начальник планово-финансового отдела Печонова Е.И.,
начальник отдела по делам 
ветеранов Чернышева Е.В. </t>
  </si>
  <si>
    <t xml:space="preserve">начальник планово-финансового отдела Печонова Е.И.,
начальник отдела по делам 
ветеранов Чернышева Е.В. 
</t>
  </si>
  <si>
    <t>начальник планово-финансового отдела Печонова Е.И., 
начальник отдела организации адресного предоставления льгот и субсидий Ролик Н.И.</t>
  </si>
  <si>
    <t xml:space="preserve">Предоставление дополнительной меры социальной поддержки по улучшению жилищных условий (ремонт, повыше-ние уровня благоустройства жилых помещений) граждан, имеющих право на меры социальной поддержки в соответствии со статьями 14, 15, а также 
статьей 21 (в части предоставления мер социальной поддержки членам семьи погибших (умерших) инвалидов и участников Великой Отече-ственной войны) Федерального закона «О ветеранах»
</t>
  </si>
  <si>
    <t xml:space="preserve">Контрольное событие 1.1                                                                                                Оформление документов на право пользование мерами социальной поддержки отдельным категориям граждан, по вопросам отнесенным к компетенции органов государственной власти Краснодарского края
</t>
  </si>
  <si>
    <t xml:space="preserve">начальник планово-финансового отдела Печонова Е.И.,                          начальник отдела по делам ветеранов 
Чернышева Е.В.,
начальник отдела организации назначения и выплаты государственных гарантий и компенсаций Пономаренко Н.Ю.,
начальник отдела организации адресного предоставления льгот и субсидий Ролик Н.И.
</t>
  </si>
  <si>
    <t xml:space="preserve">начальник планово-финансового отдела Печонова Е.И.
</t>
  </si>
  <si>
    <t xml:space="preserve">начальник планово-финансового отдела Печонова Е.И.,
Начальник отдела организации деятельности домов-интернатов 
Талькова Т.Н.
</t>
  </si>
  <si>
    <t>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рамках регионального проекта Краснодарского края «Разработка и реализация программы системной поддержки и повышения качества жизни граждан старшего поколения «Старшее поколение»</t>
  </si>
  <si>
    <t xml:space="preserve">начальник планово-финансового отдела Печонова Е.И.,
начальник отдела организации 
деятельности домов-интернатов в
Талькова Т.Н.
</t>
  </si>
  <si>
    <t xml:space="preserve">начальник планово-финансового отдела Печонова Е.И.,
начальник отдела организации и реабилитации инвалидов 
Шульга И.А., 
начальник отдела организации деятельности учреждений для несовершеннолетних Исаева И.Г.
</t>
  </si>
  <si>
    <t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Краснодарского края                         от 16 июля 2013 г.                                                                            № 2770-КЗ "Об образовании в Краснодарском крае"</t>
  </si>
  <si>
    <t xml:space="preserve">начальник планово-финансового отдела Печонова Е.И.,
начальник отдела организации 
назначения и выплаты 
государственных гарантий и компенсаций Пономаренко Н.Ю.
</t>
  </si>
  <si>
    <t xml:space="preserve">начальник планово-финансового отдела Печонова Е.И.,
начальник отдела организации 
назначения и выплаты 
государственных гарантий и компенсаций Пономаренко Н.Ю.
</t>
  </si>
  <si>
    <t>начальник планово-финансового отдела Печонова Е.И.,
начальник отдела организации 
назначения и выплаты 
государственных гарантий и компенсаций Пономаренко Н.Ю.</t>
  </si>
  <si>
    <t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от 19 мая 1995 г. № 81-ФЗ "О государственных пособиях гражданам, имеющим детей"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</si>
  <si>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                                                                                                                          от 19 мая 1995 г. № 81-ФЗ                                                                           "О государственных пособиях гражданам, имеющим детей"</t>
  </si>
  <si>
    <t xml:space="preserve">начальник планово-финансового отдела Печонова Е.И.,
начальник отдела по социальной защите семьи, материнства, детства в управлении оздоровления и отдыха детей                                                        Голыба В.Н.
</t>
  </si>
  <si>
    <t xml:space="preserve">начальник планово-финансового отдела Печонова Е.И.,
начальник отдела развития 
семейных форм устройства 
детей-сирот и детей, оставшихся без попечения родителей 
Босенко Ю.Л. 
</t>
  </si>
  <si>
    <t xml:space="preserve">начальник планово-финансового отдела Печонова Е.И.,
начальник отдела развития семейных форм устройства детей-сирот и детей, оставшихся без попечения родителей                         Босенко Ю.Л. </t>
  </si>
  <si>
    <t xml:space="preserve">начальник планово-финансового отдела Печонова Е.И.,
начальник отдела организации 
адресного предоставления льгот и субсидий Ролик Н.И. 
</t>
  </si>
  <si>
    <t xml:space="preserve">начальник отдела по социальной защите семьи, материнства, дет-ства Голыба В.Н.
</t>
  </si>
  <si>
    <t xml:space="preserve">начальника планово-финансового отдела Печонова Е.И.,
начальник отдела развития семейных форм устройства 
детей-сирот и детей, оставшихся без попечения родителей 
Босенко Ю.Л. 
</t>
  </si>
  <si>
    <t xml:space="preserve">начальника планово-финансового отдела Печонова Е.И.,
начальник отдела развития семейных форм устройства 
детей-сирот и детей, оставшихся без попечения родителей 
Босенко Ю.Л. </t>
  </si>
  <si>
    <t xml:space="preserve">начальник планово-финансового отдела Печонова Е.И.
 </t>
  </si>
  <si>
    <t xml:space="preserve">начальник планово-финансового отдела Печонова Е.И.,
начальник отдела обеспечения деятельности комиссии по делам несовершеннолетних и защите их прав Панченко Р.А.
</t>
  </si>
  <si>
    <t xml:space="preserve">начальник планово-финансового отдела Печонова Е.И.,
начальник отдела организации деятельности учреждений для несовершеннолетних Исаева И.Г.
</t>
  </si>
  <si>
    <t xml:space="preserve">начальник планово-финансового отдела Печонова Е.И.,
начальник отдела развития семейных форм устройства 
детейсирот и детей, оставшихся без попечения родителей                                               
Босенко Ю.Л.
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</si>
  <si>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</si>
  <si>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с Законом Краснодарского края от 15 декабря 2004 г. №805-КЗ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</si>
  <si>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 , из семей со среднедушевым доходом, размер которого не превышает величину прожиточного минимума на душу населения, установленного в Краснодарском крае в соответствии с Законом Краснодарского края                                                    от 30 июня 1997 г. № 90-КЗ "Об охране здоровья населения Краснодарского края"
</t>
  </si>
  <si>
    <t>Начальник отдела реализации национальных проектов                                                                               и государственных программ</t>
  </si>
  <si>
    <t xml:space="preserve">Предоставление дополнительной меры социальной поддержки  по оплате проезда на автомобильном транспорте общего пользования в междугородном сообщении и поездах дальнего следования к месту реабилитации (туда и обратно) инвалидам по зрению и лицам, сопровождающим инвалидов по зрению 1 группы, при их сопровождении к месту реабилитации (туда и обратно) и от места реабилитации (туда и обратно)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</si>
  <si>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№ 987-КЗ «О дополнительных мерах социальной поддержки по оплате проезда отдельных категорий жителей Краснодарского края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Краснодар-ского края от 13 февраля 2006 г. № 987-КЗ «О дополнительных мерах социальной поддержки по оплате проезда отдельных категорий жителей Краснодарского края на 2006 –2023 годы»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</si>
  <si>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№ 987-КЗ «О дополнительных мерах социальной поддержки по оплате проезда отдельных категорий жителей Краснодарского края на 2006 – 2023 годы» (за исключением мер социальной поддержки, предусмотренных подпунктом 1.1.8.4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</si>
  <si>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№ 5-ФЗ «О ветеранах»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</si>
  <si>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№ 181-ФЗ «О социальной защите инвалидов в Российской Федерации» (статья 28.2) (за исключением мер социальной поддержки, предусмотренных подпунктом 1.1.10.1 настоящего пункта)
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</si>
  <si>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(полномочий физическими лицами), в соответствии с Федеральным законом от 19 мая 1995 г. № 81-ФЗ "О государственных пособиях гражданам, имеющим детей"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</si>
  <si>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                                                                         от 15 декабря 2004 г. № 805-КЗ             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ежемесячного вознаграждения, причитающегося  патронатным воспитателям за оказание услуг по осуществлению патронатного воспитания и постинтернатного сопровождения </t>
  </si>
  <si>
    <t>Выплата гражданам пожилого возраста (достигшие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                                                                                                     от 28 декабря 2013 г.                                                                №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учреждениях государственной и муниципальной систем здравоохранения, в учреждениях системы социальной защиты населения, в целях  льготного обеспечения протезами, ортопедическими корригирующими изделиями, слуховыми аппаратами</t>
  </si>
  <si>
    <t>Предоставление субвенций местным бюджетам муниципальных образований Краснодарского края,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                                               от 3 марта 2010 г.                                                №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</t>
  </si>
  <si>
    <r>
      <t xml:space="preserve">   за 9 месяцев 2020 года</t>
    </r>
    <r>
      <rPr>
        <sz val="14"/>
        <color theme="0"/>
        <rFont val="Times New Roman"/>
        <family val="1"/>
        <charset val="204"/>
      </rPr>
      <t>.</t>
    </r>
  </si>
  <si>
    <t>Оказание государственной социальной помощи малоимущим семьям, малоимущим одиноко проживающим гражданам (за исключением мероприятий, предусмотренных подпунктом 1.1.9.1.2)</t>
  </si>
  <si>
    <t>1.1.9.1.1</t>
  </si>
  <si>
    <t>Причины неполного финансирования (отсутствия финансирования)</t>
  </si>
  <si>
    <t>Причины несоблюдения планового срока реализации, неполного финансирования                   ( отсутствия финансирования)</t>
  </si>
  <si>
    <t xml:space="preserve">Контрольное событие 2.2
Развитие материально-технической базы учреждений, обслуживающих пожилых людей и инвалидов в различных условиях социальной сферы
</t>
  </si>
  <si>
    <t xml:space="preserve">Контрольное событие 2.3
Работа мобильных бригад в государственных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
</t>
  </si>
  <si>
    <t>начальник планово-финансового отдела Печонова Е.И.,
 начальник отдела организации оздоровления и отдыха детей в управлении оздоровления и отдыха детей   Левченко В.Е.,
начальник отдела организации деятельности учреждений для несовершеннолетних Рохлин П.Н.</t>
  </si>
  <si>
    <t xml:space="preserve">начальник планово-финансового отдела Печонова Е.И.,
начальник отдела организации социального обслуживания Дегтярь Л.В.
</t>
  </si>
  <si>
    <t xml:space="preserve">начальник планово-финансового отдела Печонова Е.И.,
начальник отдела организации социального обслуживания Дегтярь Л.В.
</t>
  </si>
  <si>
    <t>Начальник планово-финансового отдела Печонова Е.И.,
начальник отдела организации социального обслуживания Дегтярь Л.В.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</si>
  <si>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220,0 тыс. рублей. Экономия по результатам торгов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</si>
  <si>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1 563,1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</si>
  <si>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479,8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</si>
  <si>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47 598,6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</si>
  <si>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175,1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</si>
  <si>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2 010,8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</si>
  <si>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43,2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</si>
  <si>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172,1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</si>
  <si>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1 606,2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</si>
  <si>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</si>
  <si>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703 294,4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</si>
  <si>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11 380,1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</si>
  <si>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18 537,2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</si>
  <si>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3 051,6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</si>
  <si>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2 558 623,2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</si>
  <si>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12 902,3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</si>
  <si>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7 486,1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</si>
  <si>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455,6 тыс. рублей. Освоение запланировано на 3  квартал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</si>
  <si>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86 000,0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</si>
  <si>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10 160,0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</si>
  <si>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2 680 646,3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</si>
  <si>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24 241,5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</si>
  <si>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9 200,7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</si>
  <si>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730,3 тыс. рублей. Освоение запланировано до конца 2020 г.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</si>
  <si>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 вознаграждения, причитающегося приемным родителям за оказание услуг по воспитанию приемных детей, в соответствии с Законом Краснодарского края  от 15 декабря 2004 г.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</t>
  </si>
  <si>
    <t>Пособия отдельным категориям работников Краснодарского края в соответствии с Законом Краснодарского края от  21 июля 2005 г. № 921-КЗ "О государственной поддержке отдельных категорий работников Краснодарского края"</t>
  </si>
  <si>
    <t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№ 1209-КЗ "О ежегодной денежной выплате отдельным категориям граждан, подвергшихся радиационным воздействиям, и их семьям"</t>
  </si>
  <si>
    <t xml:space="preserve"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 процентов от совокупного дохода семьи 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</si>
  <si>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</si>
  <si>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>Предоставление мер социальной поддержки по оплате жилищно - коммунальных услуг отдельным категориям граждан в соответствии сфедеральными законами от 24 ноября 1995 г. № 181-ФЗ "О социальной защите инвалидов в  Российской Федерации"; Законами Российской Федерации от 12 января 1995 г. № 5-ФЗ  "О ветеранах"; от 15 мая 1991 г. № 1244-1 "О социальной защите граждан, подвергшихся воздействию радиации вследствие катастрофы на Чернобыльской АЭС"</t>
  </si>
  <si>
    <t>Предоставления мер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г. № 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</t>
  </si>
  <si>
    <t>Компенсация расходов на оплату жилого помещения и коммунальных услуг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постоянно проживающим на территории Краснодарского края (за исключением мер социальной поддержки, предусмотренных подпунктом 1.1.3.1 настоящего пункта)</t>
  </si>
  <si>
    <t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 в соответствии с Законом Краснодарского края от 5 ноября 2002 г. № 537-КЗ "О ежемесячном пособи вдовам  военнослужащих, лиц рядового и начальствующего составаорганов внутренних дел и  сотрудников  органов Федеральной службы безопасности, погибших при исполнении обязанностей военной службы (служебных обязанностей)"</t>
  </si>
  <si>
    <t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7 июня 2004 г.                                                                                          № 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</t>
  </si>
  <si>
    <t>Предоставление инвалидам (в том числе детям-инвалидам), 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№ 40-ФЗ "О обязательном страховании гражданской ответственности владельцев транспортных средств"</t>
  </si>
  <si>
    <t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
Федерального закона от 28 декабря 2013 г.                                        № 400-ФЗ "О страховых пенсиях" и одиноким гражданам, страдающим хроническими заболеваниями, неспособным удовлетворять свои
основные жизненные потребности, получающим медико-социальную помощь на дому, в государственных медицинских организациях, в организациях социального
обслуживания, у граждан, осуществляющих без образования юридического лица предпринимательскую деятельность в сфере
социального обслуживания, в целях льготного обеспечения протезами, ортопедическими корригирующими изделиями, слуховыми аппаратами (за
исключением мер социальной поддержки, предусмотренных подпунктом 1.1.5.3
настоящего пункта)</t>
  </si>
  <si>
    <t xml:space="preserve"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№ 4015-КЗ "О ежемесячной выплате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
</t>
  </si>
  <si>
    <t>Предоставление пособий на оплату проезда лицам, нуждающимся в проведении гемодиализа в соответствии с Законом Краснодарского края от  6 февраля 2008 г.                                                                                                                                                                 № 1388-КЗ "О выплате пособий на оплату проезда лицам, нуждающимся в проведении гемодиализа"</t>
  </si>
  <si>
    <t>Предоставление субсидий государственным бюджетным и автономным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рамках региональногопроекта Краснодарского края "Разработка и реализация программы системной поддержки и повышения качества жизни граждан старшего поколения Старшее поколение"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</si>
  <si>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 Краснодарского края от 16 июля 2013 г.  № 2770-КЗ "Об образовании в Краснодарском крае"
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</si>
  <si>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 в соответствии с Федеральным законом от 19 мая 1995 г.     № 81-ФЗ "О государственных пособиях гражданам, имеющим детей"   </t>
  </si>
  <si>
    <t xml:space="preserve"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2013 г.  по 31 декабря 2018 г., до достижения ими возрастатрех лет в соответствии с Законом Краснодарского края  от 1 августа 2012 г. № 2568-КЗ  "О дополнительных мерах социальной поддержки отдельных категорий граждан" и ежемесячная денежная выплата нуждающимся в поддержке семьям при рождении  третьего ребенка или последующих детей, родившихся в период  с 1 января 2019 г.  по 31 декабря 2021 г. в соответствии с Законом Краснодарского края от 21 декабря 2018 г. №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 </t>
  </si>
  <si>
    <t>Осуществление ежемесячной выплаты в связи с рождением (усыновлением) первого ребенка в соответствии с Федеральным законом от 28 декабря 2017 г. № 418-ФЗ "О ежемесячных выплатах семьям, имеющим детей" в рамках регионального проекта Краснодарского края "Финансовая поддержка семей при рождении детей"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</si>
  <si>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 вознаграждения, причитающегося приемным родителям за оказание услуг по воспитанию приемных детей в  соответствии с Законом Краснодарского края от 15 декабря 2004 г.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</si>
  <si>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ежемесячных денежных средств на содержание  детей, нуждающихся в особой заботе государства, переданных на патронатное воспитание</t>
  </si>
  <si>
    <t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 от 3 марта 2010 г. №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</si>
  <si>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 Законом Краснодарского края от 13 ноября 2006 г. № 1132-КЗ "О комиссиях по делам несовершеннолет них и защите их прав в Краснодарском крае"</t>
  </si>
  <si>
    <t>Осуществление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пунктом 3 статьи 25 Федерального закона от 24 июня 1999 г. № 120-ФЗ "Об основах системы профилактики безнадзорности и правонарушений несовершеннолетних"</t>
  </si>
  <si>
    <t xml:space="preserve">Компенсация расходов на оплату жилого помещения и коммунальных услуг ветеранам труда и ветеранам военной службы, достигшим возраста, дающего право на страховую пенсию по старости в соответствии с Федеральным законом "О страховых пенсиях", жертвам политических репрессий,  постоянно проживающим на территории Краснодарского края </t>
  </si>
  <si>
    <t xml:space="preserve"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         № 181-ФЗ "О социальной защите инвалидов в Россий-ской Федерации"; Законами Российской Федерации от 12 января 1995 г. № 5-ФЗ "О ветеранах"  от 15 мая 1991 г.  № 1244-1 "О социальной защите граждан, подвергшихся воздействию радиации вследствие катастрофы на Чернобыльской АЭС"
</t>
  </si>
  <si>
    <t xml:space="preserve">Предоставление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         № 40-ФЗ "Об обязательном страховании гражданской ответственности владельцев транспортных средств" </t>
  </si>
  <si>
    <t>Предоставление ежегодной денежной выплаты лицам, награжденным нагрудными знаками "Почетный донор России", "Почетный донор СССР" в соответствии с Федеральным законом                             от 20 июля 2012 г.  № 125-ФЗ            "О донорстве крови и ее компонентов"</t>
  </si>
  <si>
    <t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 1-3 статьи 4, части 2 статьи 6 Закона Краснодарского края                                                           от 5 мая 2006 г. № 1026-КЗ "О статусе Героев Кубани и Героев труда Кубани"</t>
  </si>
  <si>
    <t>Предоставление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края от 5 мая 2006 г. № 1026-КЗ "О статусе Героев Кубани и Героев труда Кубани"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</si>
  <si>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        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№ 987-КЗ «О дополнительных мерах социальной поддержки 
по оплате проезда 
отдельных категорий жителей Краснодарского края на 2006 –2023 годы»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</si>
  <si>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
по оплате проезда 
отдельных категорий жителей Краснодарского края, установленных Законом Краснодарского края от 13 февраля 2006 г. № 987-КЗ «О дополнительных мерах социальной поддержки по оплате проезда отдельных категорий жителей Краснодарского края на 2006 – 2023 годы» (за исключением мер социал-ной поддержки, пред-смотренных подпунктом 1.1.8.4 настоящего пункта)
                             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</si>
  <si>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
№ 181-ФЗ «О социальной защите инвалидов в Российской Федерации» (статья 28.2) 
(за исключением мер социальной поддержки, предусмотренных подпунктом 1.1.10.1 нас-тоящего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</si>
  <si>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         № 5-ФЗ «О ветеранах»                       (пунктом 3 части 3 статьи 23.2) (за исключением мер социальной поддержки, предусмотренных под-пунктом 1.1.10.1 настоящего пункта)
</t>
  </si>
  <si>
    <t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                             от 5 ноября 2014 г.  № 3051-КЗ                                        "О социальном обслуживании населения на территории Краснодарского края"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</si>
  <si>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крае, по заключению врача полноценным питанием  посредством бесплатного предоставления специализированных продуктов детского питания в соответствии с Законом Краснодарского края от 30 июня 1997 г.  № 90-КЗ "Об охране здоровья населения Краснодарского края"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</si>
  <si>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 месяцев жизни, родившихся не ранее 1 августа 2014 г. и находящихся на смешанном или искусственном вскармливании, изсемей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                                                                                от 30 июня 1997 г. № 90-КЗ "Об охране здоровья населения Краснодарского края"</t>
  </si>
  <si>
    <t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в соответствии  с Законом Краснодарского края                      от 15 декабря 2004 г.  №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</t>
  </si>
  <si>
    <t>начальник отдела организации 
адресного предоставления льгот и субсидий Ролик Н.И.,                          начальник отдела по социальной  защите семьи, материнства, детства в управлении 
оздоровления и отдыха детей                                                                                         Голыба В.Н.,                                  начальник отдела развития семейных форм устройства  детей-сирот и детей, оставшихся без попечения родителей               Босенко Ю.Л., начальник отдела организации назначения и выплаты  государственных гарантий и компенсаций Пономаренко Н.Ю., начальник отдела организации оздоровления и отдыха детей в управлении оздоровления и отдыха детей   Рохлин П.Н.</t>
  </si>
  <si>
    <t>Выплата пособия на ребенка в соответствии с Законом Краснодарского края                              от 15 декабря 2004 г.  № 807-КЗ "О пособии на ребенка"</t>
  </si>
  <si>
    <t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 с 1 января 2013 г.  по 31 декабря 2018 г., до достижения ими возраста трех лет в соответствии с Законом Краснодарского края от 1 августа 2012 г.  № 2568-КЗ "О дополнительных мерах социальной поддержки отдельных категорий граждан" и ежемесячная денежная выплата нуждающимся в поддержке семьям при рождении  третьего ребенка или последующих детей, родившихся в период                                                               с 1 января 2019 г.                                     по 31 декабря 2021 г. в соответствии с Законом Краснодарского края                                                              от 21 декабря 2018 г.                                                                                       №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</t>
  </si>
  <si>
    <t>Предоставление мер социальной поддержки по обеспечению жильем отдельных категорий граждан, установленных Федеральным законом                                     от 12 января 1995 г. № 5-ФЗ «О ветеранах» (пунктом 2 части 3 статьи 23.2), в соответствии с Указом Президента Российской Федерации от 7 мая 2008 г.         № 714 «Об обеспечении жильем ветеранов Великой Отечественной войны 1941 - 1945 годов»</t>
  </si>
  <si>
    <t>Увеличение показателя связано с увеличением численности несовершеннолетних, переданных под предварительную опеку и попечительство во время карантинных мероприятий</t>
  </si>
  <si>
    <t>6489</t>
  </si>
  <si>
    <t>33</t>
  </si>
  <si>
    <t xml:space="preserve">Средства федерального бюджета освоены в полном объеме. Освоение средств краевого бюджета запланировано в 4 квартале 2020 года. </t>
  </si>
  <si>
    <t>Освоение средств федерального бюджета планируется в 4 квартале 2020 года. Отсутствуют претенденты на предоставление меры социальной поддержки. Проводится информационная работа с гражданами, а также оказывается помощь в подтверждении льготного статуса ветерана боевых действий.</t>
  </si>
  <si>
    <t>Полное освоение средств федерального бюджета запланировано в 4 квартале 020 года. Граждане подбирают жилье и оформляют необходимые документы для приобретения</t>
  </si>
  <si>
    <t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г.  № 3051-КЗ "О социальном обслуживании населения на территории Краснодарского края"</t>
  </si>
  <si>
    <t>Воробьев (Бриксман)</t>
  </si>
  <si>
    <t>Зенкин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</si>
  <si>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452 244,8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</si>
  <si>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63 074,9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</si>
  <si>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5 375,5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</si>
  <si>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467 768,9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</si>
  <si>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320 992,9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</si>
  <si>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1 682 472,9 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</si>
  <si>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4 869,3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</si>
  <si>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1 454 016,4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</si>
  <si>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1 815,0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</si>
  <si>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3 921,2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</si>
  <si>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2 054,0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</si>
  <si>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10 360,3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</si>
  <si>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9 377,2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</si>
  <si>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17 106,2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</si>
  <si>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4 517,9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</si>
  <si>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12 036,2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</si>
  <si>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243 013,7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</si>
  <si>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1 159,1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</si>
  <si>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127 231,1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</si>
  <si>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3 915,7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</si>
  <si>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2 861 644,0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</si>
  <si>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287 632,4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</si>
  <si>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862244,9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</si>
  <si>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68 516,0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</si>
  <si>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37 903,9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</si>
  <si>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245 810,9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</si>
  <si>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23 379,8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</si>
  <si>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1 328 402,4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</si>
  <si>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788 269,1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</si>
  <si>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543 997,6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</si>
  <si>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334 348,1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</si>
  <si>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14 492,1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</si>
  <si>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129 548,5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</si>
  <si>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506 729,1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</si>
  <si>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528 579,5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</si>
  <si>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12 556,2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</si>
  <si>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147 823,3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</si>
  <si>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10 562,3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</si>
  <si>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66 428,8 тыс. рублей. Освоение запланировано до конца 2020 г.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</si>
  <si>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10 397,4 тыс. рублей. Освоение запланировано до конца 2020 г.</t>
  </si>
  <si>
    <t xml:space="preserve">Предоставление дополнительных мер социальной поддержки в виде единовременной выплаты малоимущим семьям и малоимущим одиноко проживающим гражданам Краснодарского края на возмещение расходов по приобретению оборудования в связи с переходом на цифровое телерадиовещание </t>
  </si>
  <si>
    <t>1.1.9.2 *</t>
  </si>
  <si>
    <t>1.1.3.13**</t>
  </si>
  <si>
    <t xml:space="preserve">**  По мероприятию п. 1.1.3.13  фактический кассовый расход в III квартале составил 4 180,0 тыс. рублей. Субсидия перечислены учреждениям на приобретение автотранспорта в целях осуществления доставки лиц старше 65 лет, проживающих в сельской местности, в медицинские организации в размере 4 400,0 тыс. рублей, однако экономия по результатам конкурсных пролцедур составила 220,0 тыс. рублей. На отчетную дату кассовый расход по мероприятию составил 4 180,0 тыс. рублей, что соответствует отчету об исполнении финансирования госпрограммы за 9 месяцев 2020 г. </t>
  </si>
  <si>
    <t xml:space="preserve">* По мероприятию 1.1.9.2 фактический расход в III квартале составил 137,5 тыс. рублей. Мерами поддержки воспользовались получатели, подавшие документы до 1 февраля 2020 г. На отчетную дату кассовый расход по мероприятию составил 137,4 тыс. рублей, что соответствует отчету об исполнении финансирования госпрограммы за 9 месяцев 2020 г. </t>
  </si>
  <si>
    <t>Трунов Денис Михайлович
+7 (861) 259-22-97</t>
  </si>
  <si>
    <t>выполнение мероприятия предусмотрено в 4 кв. 2020 г.</t>
  </si>
  <si>
    <t>не выполнено</t>
  </si>
  <si>
    <t xml:space="preserve">не выполнено </t>
  </si>
  <si>
    <t>По итогам 9 месяцев в наличии 4 вакансии. Достижение значения непосредственного результата предусмотрено до конца 2020 г.</t>
  </si>
  <si>
    <t>Заявительный порядок обращения. Численность перевезенных несовершеннолетних зависит от фактической потребности в оказании услуги</t>
  </si>
  <si>
    <t>показатель расчитывается ежегодно, до 1 июня</t>
  </si>
  <si>
    <t>показатель расчитывается ежегодно, 1-я оценка (предварительная) - 15 марта; 2-я оценка (окончательная) - 15 августа</t>
  </si>
  <si>
    <t>Значение целевого показателя на:</t>
  </si>
  <si>
    <t>Отклонение объема профинансированных  средств от объема финансирования, предусмотренного уточненной сводной бюджетной росписью составляет 4 239,6 тыс. рублей. Освоение запланировано до конца 2020 г.</t>
  </si>
  <si>
    <t>Сочинским КЦСОН Адлерского района проведен конкурс в октябре 2020 г. Освоение средств запланировано до конца 2020 г.</t>
  </si>
  <si>
    <t>Изготовление бланков удостоверений многодетной семьи</t>
  </si>
  <si>
    <t>Предшествую- щий отчетный год</t>
  </si>
  <si>
    <t>Осуществление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с пунктом 3 статьи 25 Федерального закона от 24 июня 1999 г. № 120-ФЗ "Об основах системы профилактики безнадзорности и правонарушений несовершеннолетних"</t>
  </si>
  <si>
    <t>расчитывается по итогам года</t>
  </si>
  <si>
    <t>расчитывается Росстатом ежегодно, 1-я оценка (предварительная) - 15 марта; 2-я оценка (уточненная) - 29 апреля;
3-я оценка - 29 декабря.</t>
  </si>
  <si>
    <t xml:space="preserve">   за 9 месяцев 2020 года</t>
  </si>
  <si>
    <t>в связи с заявительным характером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</si>
</sst>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#,##0.0"/>
    <numFmt numFmtId="165" formatCode="0.0"/>
    <numFmt numFmtId="166" formatCode="0.000"/>
  </numFmts>
  <fonts count="45" x14ac:knownFonts="1"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u/>
      <sz val="4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Calibri"/>
      <family val="2"/>
      <charset val="204"/>
      <scheme val="minor"/>
    </font>
    <font>
      <i/>
      <sz val="28"/>
      <name val="Times New Roman"/>
      <family val="1"/>
      <charset val="204"/>
    </font>
    <font>
      <i/>
      <vertAlign val="superscript"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0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4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0"/>
      <color indexed="12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32"/>
      <color theme="1"/>
      <name val="Calibri"/>
      <family val="2"/>
      <scheme val="minor"/>
    </font>
    <font>
      <sz val="32"/>
      <name val="Calibri"/>
      <family val="2"/>
      <scheme val="minor"/>
    </font>
    <font>
      <sz val="3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36"/>
      <color rgb="FFFF0000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5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5" fillId="0" borderId="0"/>
    <xf numFmtId="44" fontId="42" fillId="0" borderId="0" applyFont="0" applyFill="0" applyBorder="0" applyAlignment="0" applyProtection="0"/>
  </cellStyleXfs>
  <cellXfs count="28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 textRotation="90" wrapText="1"/>
    </xf>
    <xf numFmtId="49" fontId="5" fillId="2" borderId="1" xfId="0" applyNumberFormat="1" applyFont="1" applyFill="1" applyBorder="1" applyAlignment="1">
      <alignment horizontal="center" vertical="top"/>
    </xf>
    <xf numFmtId="49" fontId="3" fillId="2" borderId="0" xfId="0" applyNumberFormat="1" applyFont="1" applyFill="1" applyBorder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164" fontId="2" fillId="2" borderId="0" xfId="0" applyNumberFormat="1" applyFont="1" applyFill="1" applyBorder="1"/>
    <xf numFmtId="165" fontId="3" fillId="2" borderId="0" xfId="0" applyNumberFormat="1" applyFont="1" applyFill="1" applyBorder="1"/>
    <xf numFmtId="49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left" vertical="top"/>
    </xf>
    <xf numFmtId="0" fontId="12" fillId="2" borderId="0" xfId="0" applyFont="1" applyFill="1" applyBorder="1"/>
    <xf numFmtId="0" fontId="5" fillId="2" borderId="1" xfId="0" applyFont="1" applyFill="1" applyBorder="1" applyAlignment="1">
      <alignment vertical="top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center" vertical="top"/>
    </xf>
    <xf numFmtId="0" fontId="15" fillId="2" borderId="0" xfId="0" applyFont="1" applyFill="1" applyBorder="1" applyAlignment="1">
      <alignment horizontal="left" vertical="top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horizontal="center"/>
    </xf>
    <xf numFmtId="164" fontId="17" fillId="2" borderId="0" xfId="0" applyNumberFormat="1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164" fontId="20" fillId="2" borderId="1" xfId="0" applyNumberFormat="1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top" wrapText="1"/>
    </xf>
    <xf numFmtId="49" fontId="17" fillId="2" borderId="0" xfId="0" applyNumberFormat="1" applyFont="1" applyFill="1" applyBorder="1" applyAlignment="1">
      <alignment horizontal="center" vertical="top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center" vertical="top" wrapText="1"/>
    </xf>
    <xf numFmtId="3" fontId="20" fillId="2" borderId="0" xfId="0" applyNumberFormat="1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center" vertical="top" wrapText="1"/>
    </xf>
    <xf numFmtId="49" fontId="26" fillId="2" borderId="0" xfId="1" applyNumberFormat="1" applyFont="1" applyFill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0" fontId="26" fillId="2" borderId="0" xfId="1" applyFont="1" applyFill="1" applyBorder="1"/>
    <xf numFmtId="0" fontId="26" fillId="2" borderId="0" xfId="1" applyFont="1" applyFill="1" applyBorder="1" applyAlignment="1">
      <alignment horizontal="left" vertical="top" wrapText="1"/>
    </xf>
    <xf numFmtId="164" fontId="26" fillId="2" borderId="0" xfId="1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center" vertical="top"/>
    </xf>
    <xf numFmtId="0" fontId="26" fillId="2" borderId="0" xfId="1" applyFont="1" applyFill="1" applyAlignment="1">
      <alignment vertical="top"/>
    </xf>
    <xf numFmtId="0" fontId="26" fillId="2" borderId="0" xfId="1" applyFont="1" applyFill="1"/>
    <xf numFmtId="49" fontId="28" fillId="2" borderId="0" xfId="1" applyNumberFormat="1" applyFont="1" applyFill="1" applyBorder="1" applyAlignment="1"/>
    <xf numFmtId="49" fontId="28" fillId="2" borderId="0" xfId="1" applyNumberFormat="1" applyFont="1" applyFill="1" applyBorder="1" applyAlignment="1">
      <alignment horizontal="left"/>
    </xf>
    <xf numFmtId="164" fontId="27" fillId="2" borderId="0" xfId="1" applyNumberFormat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vertical="top"/>
    </xf>
    <xf numFmtId="49" fontId="28" fillId="2" borderId="0" xfId="1" applyNumberFormat="1" applyFont="1" applyFill="1" applyBorder="1" applyAlignment="1">
      <alignment wrapText="1"/>
    </xf>
    <xf numFmtId="49" fontId="28" fillId="2" borderId="0" xfId="1" applyNumberFormat="1" applyFont="1" applyFill="1" applyBorder="1" applyAlignment="1">
      <alignment horizontal="left" wrapText="1"/>
    </xf>
    <xf numFmtId="49" fontId="27" fillId="2" borderId="0" xfId="1" applyNumberFormat="1" applyFont="1" applyFill="1" applyBorder="1" applyAlignment="1">
      <alignment horizontal="center"/>
    </xf>
    <xf numFmtId="49" fontId="27" fillId="2" borderId="0" xfId="1" applyNumberFormat="1" applyFont="1" applyFill="1" applyBorder="1" applyAlignment="1">
      <alignment horizontal="left"/>
    </xf>
    <xf numFmtId="0" fontId="27" fillId="2" borderId="0" xfId="1" applyFont="1" applyFill="1" applyBorder="1" applyAlignment="1">
      <alignment horizontal="left" vertical="top" wrapText="1"/>
    </xf>
    <xf numFmtId="164" fontId="28" fillId="2" borderId="0" xfId="1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>
      <alignment horizontal="center" vertical="top"/>
    </xf>
    <xf numFmtId="0" fontId="26" fillId="2" borderId="0" xfId="1" applyFont="1" applyFill="1" applyBorder="1" applyAlignment="1">
      <alignment horizontal="center"/>
    </xf>
    <xf numFmtId="49" fontId="28" fillId="2" borderId="1" xfId="1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3" fontId="28" fillId="2" borderId="1" xfId="1" applyNumberFormat="1" applyFont="1" applyFill="1" applyBorder="1" applyAlignment="1">
      <alignment horizontal="center" vertical="center" wrapText="1"/>
    </xf>
    <xf numFmtId="0" fontId="28" fillId="2" borderId="0" xfId="1" applyFont="1" applyFill="1" applyBorder="1"/>
    <xf numFmtId="164" fontId="28" fillId="2" borderId="0" xfId="1" applyNumberFormat="1" applyFont="1" applyFill="1" applyBorder="1" applyAlignment="1">
      <alignment horizontal="center" vertical="top"/>
    </xf>
    <xf numFmtId="164" fontId="26" fillId="2" borderId="0" xfId="1" applyNumberFormat="1" applyFont="1" applyFill="1" applyBorder="1" applyAlignment="1">
      <alignment vertical="top"/>
    </xf>
    <xf numFmtId="49" fontId="32" fillId="2" borderId="1" xfId="1" applyNumberFormat="1" applyFont="1" applyFill="1" applyBorder="1" applyAlignment="1">
      <alignment horizontal="center" vertical="top" wrapText="1"/>
    </xf>
    <xf numFmtId="0" fontId="34" fillId="2" borderId="0" xfId="1" applyFont="1" applyFill="1" applyBorder="1"/>
    <xf numFmtId="0" fontId="31" fillId="2" borderId="1" xfId="1" applyFont="1" applyFill="1" applyBorder="1" applyAlignment="1">
      <alignment vertical="top" wrapText="1"/>
    </xf>
    <xf numFmtId="0" fontId="26" fillId="2" borderId="0" xfId="1" applyFont="1" applyFill="1" applyBorder="1" applyAlignment="1">
      <alignment horizontal="left"/>
    </xf>
    <xf numFmtId="0" fontId="32" fillId="2" borderId="1" xfId="1" applyFont="1" applyFill="1" applyBorder="1" applyAlignment="1">
      <alignment horizontal="center" vertical="top" wrapText="1"/>
    </xf>
    <xf numFmtId="0" fontId="28" fillId="2" borderId="0" xfId="1" applyFont="1" applyFill="1" applyBorder="1" applyAlignment="1">
      <alignment horizontal="left" vertical="top" wrapText="1"/>
    </xf>
    <xf numFmtId="49" fontId="27" fillId="2" borderId="1" xfId="1" applyNumberFormat="1" applyFont="1" applyFill="1" applyBorder="1" applyAlignment="1">
      <alignment horizontal="center" vertical="top" wrapText="1"/>
    </xf>
    <xf numFmtId="49" fontId="28" fillId="2" borderId="1" xfId="1" applyNumberFormat="1" applyFont="1" applyFill="1" applyBorder="1" applyAlignment="1">
      <alignment horizontal="center"/>
    </xf>
    <xf numFmtId="49" fontId="36" fillId="2" borderId="0" xfId="1" applyNumberFormat="1" applyFont="1" applyFill="1" applyBorder="1" applyAlignment="1">
      <alignment horizontal="left"/>
    </xf>
    <xf numFmtId="164" fontId="36" fillId="2" borderId="0" xfId="1" applyNumberFormat="1" applyFont="1" applyFill="1" applyBorder="1" applyAlignment="1">
      <alignment horizontal="center"/>
    </xf>
    <xf numFmtId="164" fontId="28" fillId="2" borderId="0" xfId="1" applyNumberFormat="1" applyFont="1" applyFill="1" applyBorder="1" applyAlignment="1">
      <alignment horizontal="center"/>
    </xf>
    <xf numFmtId="49" fontId="13" fillId="2" borderId="0" xfId="1" applyNumberFormat="1" applyFont="1" applyFill="1" applyBorder="1" applyAlignment="1">
      <alignment horizontal="right" wrapText="1"/>
    </xf>
    <xf numFmtId="164" fontId="15" fillId="2" borderId="0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Border="1" applyAlignment="1">
      <alignment horizontal="center" vertical="top" wrapText="1"/>
    </xf>
    <xf numFmtId="49" fontId="15" fillId="2" borderId="0" xfId="1" applyNumberFormat="1" applyFont="1" applyFill="1" applyBorder="1" applyAlignment="1">
      <alignment horizontal="right" wrapText="1"/>
    </xf>
    <xf numFmtId="49" fontId="15" fillId="2" borderId="0" xfId="1" applyNumberFormat="1" applyFont="1" applyFill="1" applyBorder="1" applyAlignment="1">
      <alignment horizontal="left" wrapText="1"/>
    </xf>
    <xf numFmtId="0" fontId="28" fillId="2" borderId="0" xfId="1" applyFont="1" applyFill="1" applyBorder="1" applyAlignment="1">
      <alignment horizontal="left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65" fontId="6" fillId="2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 textRotation="90" wrapText="1"/>
    </xf>
    <xf numFmtId="164" fontId="10" fillId="2" borderId="1" xfId="0" applyNumberFormat="1" applyFont="1" applyFill="1" applyBorder="1" applyAlignment="1">
      <alignment horizontal="right" vertical="top"/>
    </xf>
    <xf numFmtId="49" fontId="13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164" fontId="13" fillId="2" borderId="0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left" vertical="top"/>
    </xf>
    <xf numFmtId="164" fontId="33" fillId="2" borderId="1" xfId="1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textRotation="90" wrapText="1"/>
    </xf>
    <xf numFmtId="0" fontId="11" fillId="2" borderId="0" xfId="0" applyFont="1" applyFill="1" applyBorder="1" applyAlignment="1">
      <alignment horizontal="right" vertical="top"/>
    </xf>
    <xf numFmtId="0" fontId="39" fillId="2" borderId="0" xfId="0" applyFont="1" applyFill="1"/>
    <xf numFmtId="165" fontId="40" fillId="2" borderId="0" xfId="0" applyNumberFormat="1" applyFont="1" applyFill="1" applyBorder="1"/>
    <xf numFmtId="164" fontId="39" fillId="2" borderId="0" xfId="0" applyNumberFormat="1" applyFont="1" applyFill="1"/>
    <xf numFmtId="0" fontId="0" fillId="2" borderId="1" xfId="0" applyFill="1" applyBorder="1"/>
    <xf numFmtId="164" fontId="38" fillId="2" borderId="1" xfId="1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right"/>
    </xf>
    <xf numFmtId="49" fontId="2" fillId="2" borderId="1" xfId="0" applyNumberFormat="1" applyFont="1" applyFill="1" applyBorder="1"/>
    <xf numFmtId="49" fontId="3" fillId="2" borderId="1" xfId="0" applyNumberFormat="1" applyFont="1" applyFill="1" applyBorder="1"/>
    <xf numFmtId="164" fontId="2" fillId="2" borderId="1" xfId="0" applyNumberFormat="1" applyFont="1" applyFill="1" applyBorder="1"/>
    <xf numFmtId="165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top"/>
    </xf>
    <xf numFmtId="49" fontId="28" fillId="2" borderId="1" xfId="1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/>
    </xf>
    <xf numFmtId="164" fontId="6" fillId="2" borderId="1" xfId="0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left" vertical="top" wrapText="1"/>
    </xf>
    <xf numFmtId="49" fontId="27" fillId="2" borderId="0" xfId="1" applyNumberFormat="1" applyFont="1" applyFill="1" applyBorder="1" applyAlignment="1"/>
    <xf numFmtId="0" fontId="28" fillId="2" borderId="1" xfId="1" applyFont="1" applyFill="1" applyBorder="1" applyAlignment="1">
      <alignment vertical="center" wrapText="1"/>
    </xf>
    <xf numFmtId="0" fontId="28" fillId="2" borderId="0" xfId="1" applyFont="1" applyFill="1" applyBorder="1" applyAlignment="1"/>
    <xf numFmtId="0" fontId="0" fillId="2" borderId="0" xfId="0" applyFill="1" applyAlignment="1"/>
    <xf numFmtId="49" fontId="28" fillId="2" borderId="1" xfId="1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4" fontId="0" fillId="2" borderId="0" xfId="4" applyFont="1" applyFill="1"/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center" vertical="top" wrapText="1"/>
    </xf>
    <xf numFmtId="49" fontId="28" fillId="2" borderId="0" xfId="1" applyNumberFormat="1" applyFont="1" applyFill="1" applyBorder="1" applyAlignment="1">
      <alignment horizontal="center"/>
    </xf>
    <xf numFmtId="164" fontId="41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center" vertical="top"/>
    </xf>
    <xf numFmtId="164" fontId="31" fillId="2" borderId="1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left" vertical="top" wrapText="1"/>
    </xf>
    <xf numFmtId="14" fontId="31" fillId="2" borderId="1" xfId="1" applyNumberFormat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49" fontId="28" fillId="2" borderId="1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vertical="top" wrapText="1"/>
    </xf>
    <xf numFmtId="0" fontId="32" fillId="2" borderId="1" xfId="1" applyFont="1" applyFill="1" applyBorder="1" applyAlignment="1">
      <alignment horizontal="left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top"/>
    </xf>
    <xf numFmtId="0" fontId="26" fillId="2" borderId="1" xfId="1" applyFont="1" applyFill="1" applyBorder="1" applyAlignment="1">
      <alignment horizontal="center"/>
    </xf>
    <xf numFmtId="0" fontId="26" fillId="2" borderId="1" xfId="1" applyFont="1" applyFill="1" applyBorder="1"/>
    <xf numFmtId="164" fontId="28" fillId="2" borderId="1" xfId="1" applyNumberFormat="1" applyFont="1" applyFill="1" applyBorder="1" applyAlignment="1">
      <alignment horizontal="center" vertical="top"/>
    </xf>
    <xf numFmtId="164" fontId="32" fillId="2" borderId="1" xfId="1" applyNumberFormat="1" applyFont="1" applyFill="1" applyBorder="1" applyAlignment="1">
      <alignment horizontal="center" vertical="top"/>
    </xf>
    <xf numFmtId="164" fontId="34" fillId="2" borderId="1" xfId="1" applyNumberFormat="1" applyFont="1" applyFill="1" applyBorder="1" applyAlignment="1">
      <alignment vertical="top"/>
    </xf>
    <xf numFmtId="164" fontId="34" fillId="2" borderId="1" xfId="1" applyNumberFormat="1" applyFont="1" applyFill="1" applyBorder="1"/>
    <xf numFmtId="0" fontId="26" fillId="2" borderId="1" xfId="1" applyFont="1" applyFill="1" applyBorder="1" applyAlignment="1">
      <alignment horizontal="left"/>
    </xf>
    <xf numFmtId="164" fontId="28" fillId="2" borderId="5" xfId="1" applyNumberFormat="1" applyFont="1" applyFill="1" applyBorder="1" applyAlignment="1">
      <alignment horizontal="center" vertical="center"/>
    </xf>
    <xf numFmtId="164" fontId="28" fillId="2" borderId="5" xfId="1" applyNumberFormat="1" applyFont="1" applyFill="1" applyBorder="1" applyAlignment="1">
      <alignment horizontal="center" vertical="top"/>
    </xf>
    <xf numFmtId="0" fontId="26" fillId="2" borderId="5" xfId="1" applyFont="1" applyFill="1" applyBorder="1"/>
    <xf numFmtId="0" fontId="0" fillId="2" borderId="0" xfId="0" applyFill="1" applyBorder="1"/>
    <xf numFmtId="0" fontId="44" fillId="2" borderId="0" xfId="0" applyFont="1" applyFill="1"/>
    <xf numFmtId="165" fontId="44" fillId="2" borderId="0" xfId="0" applyNumberFormat="1" applyFont="1" applyFill="1"/>
    <xf numFmtId="165" fontId="44" fillId="2" borderId="0" xfId="0" applyNumberFormat="1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left" vertical="top" wrapText="1"/>
    </xf>
    <xf numFmtId="164" fontId="5" fillId="2" borderId="6" xfId="0" applyNumberFormat="1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center" vertical="top"/>
    </xf>
    <xf numFmtId="3" fontId="5" fillId="2" borderId="6" xfId="0" applyNumberFormat="1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right" vertical="top"/>
    </xf>
    <xf numFmtId="164" fontId="11" fillId="2" borderId="6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right" vertical="top" wrapText="1"/>
    </xf>
    <xf numFmtId="164" fontId="11" fillId="2" borderId="6" xfId="0" applyNumberFormat="1" applyFont="1" applyFill="1" applyBorder="1" applyAlignment="1">
      <alignment horizontal="right" vertical="top" wrapText="1"/>
    </xf>
    <xf numFmtId="164" fontId="11" fillId="2" borderId="1" xfId="0" applyNumberFormat="1" applyFont="1" applyFill="1" applyBorder="1" applyAlignment="1">
      <alignment horizontal="right" vertical="top"/>
    </xf>
    <xf numFmtId="0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64" fontId="5" fillId="2" borderId="6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7" xfId="0" applyNumberFormat="1" applyFont="1" applyFill="1" applyBorder="1" applyAlignment="1">
      <alignment horizontal="left" vertical="top" wrapText="1"/>
    </xf>
    <xf numFmtId="0" fontId="41" fillId="2" borderId="0" xfId="0" applyFont="1" applyFill="1" applyAlignment="1">
      <alignment horizontal="left" wrapText="1"/>
    </xf>
    <xf numFmtId="165" fontId="5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14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/>
    </xf>
    <xf numFmtId="164" fontId="43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165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37" fillId="2" borderId="0" xfId="0" applyFont="1" applyFill="1" applyBorder="1" applyAlignment="1">
      <alignment horizontal="left" wrapText="1"/>
    </xf>
    <xf numFmtId="164" fontId="23" fillId="2" borderId="0" xfId="0" applyNumberFormat="1" applyFont="1" applyFill="1" applyBorder="1" applyAlignment="1">
      <alignment horizontal="right" wrapText="1"/>
    </xf>
    <xf numFmtId="0" fontId="16" fillId="2" borderId="0" xfId="0" applyFont="1" applyFill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/>
    </xf>
    <xf numFmtId="0" fontId="28" fillId="2" borderId="1" xfId="1" applyFont="1" applyFill="1" applyBorder="1" applyAlignment="1">
      <alignment horizontal="left" vertical="top" wrapText="1"/>
    </xf>
    <xf numFmtId="14" fontId="31" fillId="2" borderId="1" xfId="1" applyNumberFormat="1" applyFont="1" applyFill="1" applyBorder="1" applyAlignment="1">
      <alignment horizontal="center" vertical="top" wrapText="1"/>
    </xf>
    <xf numFmtId="0" fontId="31" fillId="2" borderId="1" xfId="1" applyFont="1" applyFill="1" applyBorder="1" applyAlignment="1">
      <alignment horizontal="center" vertical="top" wrapText="1"/>
    </xf>
    <xf numFmtId="164" fontId="31" fillId="2" borderId="1" xfId="1" applyNumberFormat="1" applyFont="1" applyFill="1" applyBorder="1" applyAlignment="1">
      <alignment horizontal="center" vertical="top" wrapText="1"/>
    </xf>
    <xf numFmtId="49" fontId="36" fillId="2" borderId="0" xfId="1" applyNumberFormat="1" applyFont="1" applyFill="1" applyBorder="1" applyAlignment="1">
      <alignment horizontal="left" wrapText="1"/>
    </xf>
    <xf numFmtId="0" fontId="32" fillId="2" borderId="1" xfId="1" applyFont="1" applyFill="1" applyBorder="1" applyAlignment="1">
      <alignment horizontal="left" vertical="top" wrapText="1"/>
    </xf>
    <xf numFmtId="49" fontId="13" fillId="2" borderId="0" xfId="1" applyNumberFormat="1" applyFont="1" applyFill="1" applyBorder="1" applyAlignment="1">
      <alignment horizontal="left" wrapText="1"/>
    </xf>
    <xf numFmtId="49" fontId="28" fillId="2" borderId="0" xfId="1" applyNumberFormat="1" applyFont="1" applyFill="1" applyBorder="1" applyAlignment="1">
      <alignment horizontal="left" vertical="top" wrapText="1"/>
    </xf>
    <xf numFmtId="49" fontId="28" fillId="2" borderId="1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vertical="top" wrapText="1"/>
    </xf>
    <xf numFmtId="0" fontId="28" fillId="2" borderId="1" xfId="1" applyFont="1" applyFill="1" applyBorder="1" applyAlignment="1">
      <alignment vertical="top" wrapText="1"/>
    </xf>
    <xf numFmtId="0" fontId="28" fillId="2" borderId="1" xfId="1" applyFont="1" applyFill="1" applyBorder="1" applyAlignment="1">
      <alignment horizontal="center" vertical="top" wrapText="1"/>
    </xf>
    <xf numFmtId="0" fontId="24" fillId="2" borderId="1" xfId="0" applyFont="1" applyFill="1" applyBorder="1"/>
    <xf numFmtId="0" fontId="33" fillId="2" borderId="1" xfId="1" applyFont="1" applyFill="1" applyBorder="1" applyAlignment="1">
      <alignment horizontal="left" vertical="top" wrapText="1"/>
    </xf>
    <xf numFmtId="164" fontId="28" fillId="2" borderId="1" xfId="1" applyNumberFormat="1" applyFont="1" applyFill="1" applyBorder="1" applyAlignment="1">
      <alignment horizontal="center" vertical="center" wrapText="1"/>
    </xf>
    <xf numFmtId="164" fontId="28" fillId="2" borderId="1" xfId="1" applyNumberFormat="1" applyFont="1" applyFill="1" applyBorder="1" applyAlignment="1">
      <alignment horizontal="center" vertical="center"/>
    </xf>
    <xf numFmtId="0" fontId="28" fillId="2" borderId="1" xfId="2" applyFont="1" applyFill="1" applyBorder="1" applyAlignment="1" applyProtection="1">
      <alignment horizontal="center" vertical="top" wrapText="1"/>
    </xf>
    <xf numFmtId="164" fontId="28" fillId="2" borderId="1" xfId="2" applyNumberFormat="1" applyFont="1" applyFill="1" applyBorder="1" applyAlignment="1" applyProtection="1">
      <alignment horizontal="center" vertical="top" wrapText="1"/>
    </xf>
    <xf numFmtId="164" fontId="28" fillId="2" borderId="0" xfId="1" applyNumberFormat="1" applyFont="1" applyFill="1" applyAlignment="1">
      <alignment horizontal="center"/>
    </xf>
    <xf numFmtId="49" fontId="28" fillId="2" borderId="0" xfId="1" applyNumberFormat="1" applyFont="1" applyFill="1" applyBorder="1" applyAlignment="1">
      <alignment horizontal="center"/>
    </xf>
    <xf numFmtId="49" fontId="28" fillId="2" borderId="0" xfId="1" applyNumberFormat="1" applyFont="1" applyFill="1" applyBorder="1" applyAlignment="1">
      <alignment horizontal="center" wrapText="1"/>
    </xf>
    <xf numFmtId="0" fontId="28" fillId="2" borderId="1" xfId="2" applyFont="1" applyFill="1" applyBorder="1" applyAlignment="1" applyProtection="1">
      <alignment vertical="top" wrapText="1"/>
    </xf>
    <xf numFmtId="49" fontId="28" fillId="2" borderId="0" xfId="1" applyNumberFormat="1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top" wrapText="1"/>
    </xf>
    <xf numFmtId="3" fontId="20" fillId="0" borderId="1" xfId="0" applyNumberFormat="1" applyFont="1" applyFill="1" applyBorder="1" applyAlignment="1">
      <alignment horizontal="center" vertical="top" wrapText="1"/>
    </xf>
    <xf numFmtId="3" fontId="22" fillId="0" borderId="1" xfId="0" applyNumberFormat="1" applyFont="1" applyFill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center" vertical="top" wrapText="1"/>
    </xf>
    <xf numFmtId="164" fontId="20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166" fontId="20" fillId="0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top" wrapText="1"/>
    </xf>
  </cellXfs>
  <cellStyles count="5">
    <cellStyle name="Гиперссылка" xfId="2" builtinId="8"/>
    <cellStyle name="Денежный" xfId="4" builtinId="4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7"/>
  <sheetViews>
    <sheetView view="pageBreakPreview" topLeftCell="A10" zoomScale="30" zoomScaleNormal="40" zoomScaleSheetLayoutView="30" workbookViewId="0">
      <selection activeCell="T15" sqref="T15"/>
    </sheetView>
  </sheetViews>
  <sheetFormatPr defaultColWidth="9.140625" defaultRowHeight="42" x14ac:dyDescent="0.65"/>
  <cols>
    <col min="1" max="1" width="21.42578125" style="101" customWidth="1"/>
    <col min="2" max="2" width="102.42578125" style="103" customWidth="1"/>
    <col min="3" max="3" width="43.85546875" style="103" customWidth="1"/>
    <col min="4" max="4" width="46" style="110" customWidth="1"/>
    <col min="5" max="5" width="43.140625" style="110" customWidth="1"/>
    <col min="6" max="6" width="16.85546875" style="110" customWidth="1"/>
    <col min="7" max="7" width="13.140625" style="110" customWidth="1"/>
    <col min="8" max="8" width="16" style="110" customWidth="1"/>
    <col min="9" max="9" width="45.5703125" style="110" customWidth="1"/>
    <col min="10" max="10" width="13.85546875" style="110" customWidth="1"/>
    <col min="11" max="11" width="49.85546875" style="110" customWidth="1"/>
    <col min="12" max="12" width="15.5703125" style="110" customWidth="1"/>
    <col min="13" max="13" width="21.7109375" style="110" customWidth="1"/>
    <col min="14" max="14" width="41.7109375" style="110" customWidth="1"/>
    <col min="15" max="15" width="15.28515625" style="110" customWidth="1"/>
    <col min="16" max="16" width="46.7109375" style="110" customWidth="1"/>
    <col min="17" max="17" width="14.85546875" style="110" customWidth="1"/>
    <col min="18" max="18" width="14.5703125" style="110" customWidth="1"/>
    <col min="19" max="19" width="19.85546875" style="110" customWidth="1"/>
    <col min="20" max="20" width="48.7109375" style="110" customWidth="1"/>
    <col min="21" max="21" width="77.42578125" style="101" customWidth="1"/>
    <col min="22" max="22" width="12.42578125" style="101" customWidth="1"/>
    <col min="23" max="23" width="23.5703125" style="101" customWidth="1"/>
    <col min="24" max="24" width="30.28515625" style="102" customWidth="1"/>
    <col min="25" max="25" width="24" style="144" customWidth="1"/>
    <col min="26" max="26" width="74.42578125" style="102" customWidth="1"/>
    <col min="27" max="27" width="80.7109375" style="103" customWidth="1"/>
    <col min="28" max="28" width="80.7109375" style="103" hidden="1" customWidth="1"/>
    <col min="29" max="29" width="44.85546875" style="101" hidden="1" customWidth="1"/>
    <col min="30" max="30" width="22.28515625" style="101" hidden="1" customWidth="1"/>
    <col min="31" max="33" width="9.140625" style="101" hidden="1" customWidth="1"/>
    <col min="34" max="34" width="23" style="101" hidden="1" customWidth="1"/>
    <col min="35" max="35" width="42.42578125" style="101" hidden="1" customWidth="1"/>
    <col min="36" max="36" width="49.140625" style="101" hidden="1" customWidth="1"/>
    <col min="37" max="37" width="9.140625" style="101" hidden="1" customWidth="1"/>
    <col min="38" max="39" width="0" style="101" hidden="1" customWidth="1"/>
    <col min="40" max="40" width="42" style="116" hidden="1" customWidth="1"/>
    <col min="41" max="41" width="0" style="101" hidden="1" customWidth="1"/>
    <col min="42" max="42" width="14.7109375" style="101" customWidth="1"/>
    <col min="43" max="43" width="41" style="101" hidden="1" customWidth="1"/>
    <col min="44" max="44" width="1.85546875" style="101" hidden="1" customWidth="1"/>
    <col min="45" max="47" width="9.140625" style="101" hidden="1" customWidth="1"/>
    <col min="48" max="48" width="46.28515625" style="101" hidden="1" customWidth="1"/>
    <col min="49" max="49" width="9.140625" style="101"/>
    <col min="50" max="50" width="51.5703125" style="191" customWidth="1"/>
    <col min="51" max="16384" width="9.140625" style="101"/>
  </cols>
  <sheetData>
    <row r="1" spans="1:50" ht="61.5" x14ac:dyDescent="0.65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146"/>
      <c r="AC1" s="1"/>
      <c r="AD1" s="2"/>
      <c r="AE1" s="2"/>
    </row>
    <row r="2" spans="1:50" ht="61.5" x14ac:dyDescent="0.65">
      <c r="A2" s="237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146"/>
      <c r="AC2" s="1"/>
      <c r="AD2" s="2"/>
      <c r="AE2" s="2"/>
    </row>
    <row r="3" spans="1:50" ht="61.5" x14ac:dyDescent="0.65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146"/>
      <c r="AC3" s="1"/>
      <c r="AD3" s="2"/>
      <c r="AE3" s="2"/>
    </row>
    <row r="4" spans="1:50" x14ac:dyDescent="0.65">
      <c r="A4" s="238" t="s">
        <v>3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147"/>
      <c r="AC4" s="1"/>
      <c r="AD4" s="2"/>
      <c r="AE4" s="2"/>
    </row>
    <row r="5" spans="1:50" ht="61.5" x14ac:dyDescent="0.65">
      <c r="A5" s="239" t="s">
        <v>534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148"/>
      <c r="AC5" s="1"/>
      <c r="AD5" s="2"/>
      <c r="AE5" s="2"/>
    </row>
    <row r="6" spans="1:50" x14ac:dyDescent="0.65">
      <c r="A6" s="3"/>
      <c r="B6" s="4"/>
      <c r="C6" s="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5"/>
      <c r="V6" s="3"/>
      <c r="W6" s="3"/>
      <c r="X6" s="6"/>
      <c r="Y6" s="6"/>
      <c r="Z6" s="3"/>
      <c r="AA6" s="5"/>
      <c r="AB6" s="5"/>
      <c r="AC6" s="1"/>
      <c r="AD6" s="2"/>
      <c r="AE6" s="2"/>
    </row>
    <row r="7" spans="1:50" ht="86.25" customHeight="1" x14ac:dyDescent="0.65">
      <c r="A7" s="203" t="s">
        <v>4</v>
      </c>
      <c r="B7" s="203" t="s">
        <v>5</v>
      </c>
      <c r="C7" s="203" t="s">
        <v>6</v>
      </c>
      <c r="D7" s="236" t="s">
        <v>283</v>
      </c>
      <c r="E7" s="236"/>
      <c r="F7" s="236"/>
      <c r="G7" s="236"/>
      <c r="H7" s="236"/>
      <c r="I7" s="236" t="s">
        <v>7</v>
      </c>
      <c r="J7" s="236"/>
      <c r="K7" s="236"/>
      <c r="L7" s="236"/>
      <c r="M7" s="236"/>
      <c r="N7" s="236" t="s">
        <v>8</v>
      </c>
      <c r="O7" s="236"/>
      <c r="P7" s="236"/>
      <c r="Q7" s="236"/>
      <c r="R7" s="236"/>
      <c r="S7" s="236"/>
      <c r="T7" s="236" t="s">
        <v>282</v>
      </c>
      <c r="U7" s="203" t="s">
        <v>390</v>
      </c>
      <c r="V7" s="235" t="s">
        <v>9</v>
      </c>
      <c r="W7" s="235"/>
      <c r="X7" s="235"/>
      <c r="Y7" s="235"/>
      <c r="Z7" s="203" t="s">
        <v>10</v>
      </c>
      <c r="AA7" s="201" t="s">
        <v>11</v>
      </c>
      <c r="AB7" s="159"/>
      <c r="AC7" s="122"/>
      <c r="AD7" s="19"/>
      <c r="AE7" s="2"/>
    </row>
    <row r="8" spans="1:50" ht="246.75" x14ac:dyDescent="0.65">
      <c r="A8" s="203"/>
      <c r="B8" s="203"/>
      <c r="C8" s="203"/>
      <c r="D8" s="236"/>
      <c r="E8" s="236"/>
      <c r="F8" s="236"/>
      <c r="G8" s="236"/>
      <c r="H8" s="236"/>
      <c r="I8" s="236" t="s">
        <v>12</v>
      </c>
      <c r="J8" s="236"/>
      <c r="K8" s="236"/>
      <c r="L8" s="236"/>
      <c r="M8" s="165" t="s">
        <v>13</v>
      </c>
      <c r="N8" s="236"/>
      <c r="O8" s="236"/>
      <c r="P8" s="236"/>
      <c r="Q8" s="236"/>
      <c r="R8" s="236"/>
      <c r="S8" s="236"/>
      <c r="T8" s="236"/>
      <c r="U8" s="203"/>
      <c r="V8" s="235"/>
      <c r="W8" s="235"/>
      <c r="X8" s="235"/>
      <c r="Y8" s="235"/>
      <c r="Z8" s="203"/>
      <c r="AA8" s="201"/>
      <c r="AB8" s="159"/>
      <c r="AC8" s="122"/>
      <c r="AD8" s="19"/>
      <c r="AE8" s="2"/>
    </row>
    <row r="9" spans="1:50" ht="327" customHeight="1" x14ac:dyDescent="0.65">
      <c r="A9" s="203"/>
      <c r="B9" s="203"/>
      <c r="C9" s="203"/>
      <c r="D9" s="107" t="s">
        <v>14</v>
      </c>
      <c r="E9" s="107" t="s">
        <v>15</v>
      </c>
      <c r="F9" s="114" t="s">
        <v>16</v>
      </c>
      <c r="G9" s="107" t="s">
        <v>17</v>
      </c>
      <c r="H9" s="107" t="s">
        <v>18</v>
      </c>
      <c r="I9" s="107" t="s">
        <v>14</v>
      </c>
      <c r="J9" s="114" t="s">
        <v>14</v>
      </c>
      <c r="K9" s="107" t="s">
        <v>15</v>
      </c>
      <c r="L9" s="114" t="s">
        <v>15</v>
      </c>
      <c r="M9" s="107" t="s">
        <v>17</v>
      </c>
      <c r="N9" s="107" t="s">
        <v>14</v>
      </c>
      <c r="O9" s="114" t="s">
        <v>14</v>
      </c>
      <c r="P9" s="107" t="s">
        <v>15</v>
      </c>
      <c r="Q9" s="114" t="s">
        <v>15</v>
      </c>
      <c r="R9" s="107" t="s">
        <v>17</v>
      </c>
      <c r="S9" s="107" t="s">
        <v>18</v>
      </c>
      <c r="T9" s="236"/>
      <c r="U9" s="203"/>
      <c r="V9" s="7" t="s">
        <v>19</v>
      </c>
      <c r="W9" s="7" t="s">
        <v>20</v>
      </c>
      <c r="X9" s="7" t="s">
        <v>21</v>
      </c>
      <c r="Y9" s="7" t="s">
        <v>22</v>
      </c>
      <c r="Z9" s="203"/>
      <c r="AA9" s="201"/>
      <c r="AB9" s="160">
        <f>N11/D11*100</f>
        <v>78.06085517314628</v>
      </c>
      <c r="AC9" s="160">
        <f>P11/E11*100</f>
        <v>73.049473213916627</v>
      </c>
      <c r="AD9" s="123" t="s">
        <v>23</v>
      </c>
      <c r="AE9" s="2"/>
    </row>
    <row r="10" spans="1:50" x14ac:dyDescent="0.6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  <c r="O10" s="8">
        <v>15</v>
      </c>
      <c r="P10" s="8">
        <v>16</v>
      </c>
      <c r="Q10" s="8">
        <v>17</v>
      </c>
      <c r="R10" s="8">
        <v>18</v>
      </c>
      <c r="S10" s="8">
        <v>19</v>
      </c>
      <c r="T10" s="8">
        <v>20</v>
      </c>
      <c r="U10" s="8">
        <v>21</v>
      </c>
      <c r="V10" s="8">
        <v>22</v>
      </c>
      <c r="W10" s="8">
        <v>23</v>
      </c>
      <c r="X10" s="8">
        <v>24</v>
      </c>
      <c r="Y10" s="8">
        <v>25</v>
      </c>
      <c r="Z10" s="8">
        <v>26</v>
      </c>
      <c r="AA10" s="8">
        <v>27</v>
      </c>
      <c r="AB10" s="8"/>
      <c r="AC10" s="124"/>
      <c r="AD10" s="125"/>
      <c r="AE10" s="9"/>
    </row>
    <row r="11" spans="1:50" ht="103.5" x14ac:dyDescent="0.65">
      <c r="A11" s="10"/>
      <c r="B11" s="11" t="s">
        <v>24</v>
      </c>
      <c r="C11" s="104"/>
      <c r="D11" s="108">
        <f>D13+D14+D65+D84</f>
        <v>19599076.599999998</v>
      </c>
      <c r="E11" s="108">
        <f>E13+E14+E65+E84</f>
        <v>40242473.5</v>
      </c>
      <c r="F11" s="108">
        <f>F12+F14+F65+F84</f>
        <v>0</v>
      </c>
      <c r="G11" s="108">
        <f>G12+G14+G65+G84</f>
        <v>0</v>
      </c>
      <c r="H11" s="108">
        <f>H12+H14+H65+H84</f>
        <v>0</v>
      </c>
      <c r="I11" s="108">
        <f>I12+I14+I65+I84</f>
        <v>21486839.5</v>
      </c>
      <c r="J11" s="108">
        <f>J12+J14+J65+J84</f>
        <v>0</v>
      </c>
      <c r="K11" s="108">
        <f>K13+K14+K65+K84</f>
        <v>40242473.5</v>
      </c>
      <c r="L11" s="108">
        <f>L12+L14+L65+L84</f>
        <v>0</v>
      </c>
      <c r="M11" s="108">
        <f>M12+M14+M65+M84</f>
        <v>0</v>
      </c>
      <c r="N11" s="108">
        <f>N12+N14+N65+N84</f>
        <v>15299206.800000001</v>
      </c>
      <c r="O11" s="108">
        <f>O12+O14+O65+O84</f>
        <v>0</v>
      </c>
      <c r="P11" s="108">
        <f>P13+P14+P65+P84</f>
        <v>29396914.899999999</v>
      </c>
      <c r="Q11" s="108">
        <f>Q12+Q14+Q65+Q84</f>
        <v>0</v>
      </c>
      <c r="R11" s="108">
        <f>R12+R14+R65+R84</f>
        <v>0</v>
      </c>
      <c r="S11" s="108">
        <f>S12+S14+S65+S84</f>
        <v>0</v>
      </c>
      <c r="T11" s="108">
        <f>T13+T14+T65+T84</f>
        <v>2052042.65</v>
      </c>
      <c r="U11" s="150" t="s">
        <v>25</v>
      </c>
      <c r="V11" s="150" t="s">
        <v>25</v>
      </c>
      <c r="W11" s="150" t="s">
        <v>25</v>
      </c>
      <c r="X11" s="150" t="s">
        <v>25</v>
      </c>
      <c r="Y11" s="150" t="s">
        <v>25</v>
      </c>
      <c r="Z11" s="150" t="s">
        <v>25</v>
      </c>
      <c r="AA11" s="164" t="s">
        <v>25</v>
      </c>
      <c r="AB11" s="164"/>
      <c r="AC11" s="126"/>
      <c r="AD11" s="127">
        <f>(N11+P11)/(I11+K11)*100</f>
        <v>72.406640423812917</v>
      </c>
      <c r="AE11" s="13"/>
      <c r="AH11" s="13">
        <f>N11/I11*100</f>
        <v>71.202685718390555</v>
      </c>
      <c r="AI11" s="13">
        <f>P11/K11*100</f>
        <v>73.049473213916627</v>
      </c>
    </row>
    <row r="12" spans="1:50" ht="160.5" customHeight="1" x14ac:dyDescent="0.65">
      <c r="A12" s="150"/>
      <c r="B12" s="11" t="s">
        <v>26</v>
      </c>
      <c r="C12" s="10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0"/>
      <c r="V12" s="150"/>
      <c r="W12" s="150"/>
      <c r="X12" s="150"/>
      <c r="Y12" s="150"/>
      <c r="Z12" s="150"/>
      <c r="AA12" s="164"/>
      <c r="AB12" s="164"/>
      <c r="AC12" s="126"/>
      <c r="AD12" s="127" t="e">
        <f>(N12+P12)/(I12+K12)*100</f>
        <v>#DIV/0!</v>
      </c>
      <c r="AE12" s="2"/>
    </row>
    <row r="13" spans="1:50" ht="297.75" customHeight="1" x14ac:dyDescent="0.65">
      <c r="A13" s="150" t="s">
        <v>27</v>
      </c>
      <c r="B13" s="159" t="s">
        <v>28</v>
      </c>
      <c r="C13" s="160" t="s">
        <v>29</v>
      </c>
      <c r="D13" s="155">
        <v>0</v>
      </c>
      <c r="E13" s="162">
        <v>1447958.7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1447958.7</v>
      </c>
      <c r="L13" s="155">
        <v>0</v>
      </c>
      <c r="M13" s="155">
        <v>0</v>
      </c>
      <c r="N13" s="155">
        <v>0</v>
      </c>
      <c r="O13" s="155">
        <v>0</v>
      </c>
      <c r="P13" s="155">
        <v>995713.9</v>
      </c>
      <c r="Q13" s="155">
        <v>0</v>
      </c>
      <c r="R13" s="155">
        <v>0</v>
      </c>
      <c r="S13" s="155"/>
      <c r="T13" s="155">
        <v>121557.9</v>
      </c>
      <c r="U13" s="137" t="s">
        <v>473</v>
      </c>
      <c r="V13" s="150" t="s">
        <v>25</v>
      </c>
      <c r="W13" s="150" t="s">
        <v>25</v>
      </c>
      <c r="X13" s="150" t="s">
        <v>25</v>
      </c>
      <c r="Y13" s="150" t="s">
        <v>25</v>
      </c>
      <c r="Z13" s="150" t="s">
        <v>25</v>
      </c>
      <c r="AA13" s="164" t="s">
        <v>25</v>
      </c>
      <c r="AB13" s="112"/>
      <c r="AC13" s="126">
        <f>P13-K13</f>
        <v>-452244.79999999993</v>
      </c>
      <c r="AD13" s="127"/>
      <c r="AE13" s="2"/>
      <c r="AH13" s="13">
        <f>P13/K13*100</f>
        <v>68.766733471058259</v>
      </c>
      <c r="AJ13" s="136"/>
    </row>
    <row r="14" spans="1:50" ht="103.5" x14ac:dyDescent="0.65">
      <c r="A14" s="14" t="s">
        <v>30</v>
      </c>
      <c r="B14" s="11" t="s">
        <v>31</v>
      </c>
      <c r="C14" s="104"/>
      <c r="D14" s="108">
        <f t="shared" ref="D14:T14" si="0">SUM(D15:D64)</f>
        <v>4691590.8999999994</v>
      </c>
      <c r="E14" s="108">
        <f t="shared" si="0"/>
        <v>11402200.999999998</v>
      </c>
      <c r="F14" s="108">
        <f t="shared" si="0"/>
        <v>0</v>
      </c>
      <c r="G14" s="108">
        <f t="shared" si="0"/>
        <v>0</v>
      </c>
      <c r="H14" s="108">
        <f t="shared" si="0"/>
        <v>0</v>
      </c>
      <c r="I14" s="108">
        <f t="shared" si="0"/>
        <v>4691590.8999999994</v>
      </c>
      <c r="J14" s="108">
        <f t="shared" si="0"/>
        <v>0</v>
      </c>
      <c r="K14" s="108">
        <f t="shared" si="0"/>
        <v>11251570.999999998</v>
      </c>
      <c r="L14" s="108">
        <f t="shared" si="0"/>
        <v>0</v>
      </c>
      <c r="M14" s="108">
        <f t="shared" si="0"/>
        <v>0</v>
      </c>
      <c r="N14" s="108">
        <f t="shared" si="0"/>
        <v>2951795</v>
      </c>
      <c r="O14" s="108">
        <f t="shared" si="0"/>
        <v>0</v>
      </c>
      <c r="P14" s="108">
        <f t="shared" si="0"/>
        <v>7772949.0000000009</v>
      </c>
      <c r="Q14" s="108">
        <f t="shared" si="0"/>
        <v>0</v>
      </c>
      <c r="R14" s="108">
        <f t="shared" si="0"/>
        <v>0</v>
      </c>
      <c r="S14" s="108">
        <f t="shared" si="0"/>
        <v>0</v>
      </c>
      <c r="T14" s="108">
        <f t="shared" si="0"/>
        <v>120045.79999999999</v>
      </c>
      <c r="U14" s="15" t="s">
        <v>25</v>
      </c>
      <c r="V14" s="15" t="s">
        <v>25</v>
      </c>
      <c r="W14" s="15" t="s">
        <v>25</v>
      </c>
      <c r="X14" s="15" t="s">
        <v>25</v>
      </c>
      <c r="Y14" s="15" t="s">
        <v>25</v>
      </c>
      <c r="Z14" s="15" t="s">
        <v>25</v>
      </c>
      <c r="AA14" s="16" t="s">
        <v>25</v>
      </c>
      <c r="AB14" s="16"/>
      <c r="AC14" s="126"/>
      <c r="AD14" s="127">
        <f>(N14+P14)/(I14+K14)*100</f>
        <v>67.268613762242495</v>
      </c>
      <c r="AE14" s="17"/>
      <c r="AH14" s="13">
        <f>N14/I14*100</f>
        <v>62.916717653280472</v>
      </c>
      <c r="AI14" s="13">
        <f>P14/K14*100</f>
        <v>69.083232910319836</v>
      </c>
      <c r="AJ14" s="135"/>
      <c r="AN14" s="117"/>
    </row>
    <row r="15" spans="1:50" ht="297.75" customHeight="1" x14ac:dyDescent="0.65">
      <c r="A15" s="161" t="s">
        <v>27</v>
      </c>
      <c r="B15" s="159" t="s">
        <v>32</v>
      </c>
      <c r="C15" s="159" t="s">
        <v>29</v>
      </c>
      <c r="D15" s="155">
        <v>0</v>
      </c>
      <c r="E15" s="155">
        <v>349661.3</v>
      </c>
      <c r="F15" s="162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349661.3</v>
      </c>
      <c r="L15" s="155">
        <v>0</v>
      </c>
      <c r="M15" s="155">
        <v>0</v>
      </c>
      <c r="N15" s="155">
        <v>0</v>
      </c>
      <c r="O15" s="155">
        <v>0</v>
      </c>
      <c r="P15" s="155">
        <v>286586.40000000002</v>
      </c>
      <c r="Q15" s="155">
        <v>0</v>
      </c>
      <c r="R15" s="155">
        <v>0</v>
      </c>
      <c r="S15" s="155">
        <v>0</v>
      </c>
      <c r="T15" s="155">
        <v>3325.4</v>
      </c>
      <c r="U15" s="158" t="s">
        <v>474</v>
      </c>
      <c r="V15" s="150"/>
      <c r="W15" s="151" t="s">
        <v>33</v>
      </c>
      <c r="X15" s="157">
        <v>2011</v>
      </c>
      <c r="Y15" s="157">
        <v>2130</v>
      </c>
      <c r="Z15" s="151" t="s">
        <v>34</v>
      </c>
      <c r="AA15" s="158"/>
      <c r="AB15" s="158"/>
      <c r="AC15" s="126">
        <f>P15-K15</f>
        <v>-63074.899999999965</v>
      </c>
      <c r="AD15" s="19"/>
      <c r="AE15" s="2"/>
      <c r="AJ15" s="135"/>
      <c r="AN15" s="116" t="s">
        <v>305</v>
      </c>
      <c r="AQ15" s="192" t="e">
        <f>N15/I15*100</f>
        <v>#DIV/0!</v>
      </c>
      <c r="AV15" s="192">
        <f>P15/K15*100</f>
        <v>81.961143540906605</v>
      </c>
      <c r="AX15" s="193">
        <f>Y15/X15*100</f>
        <v>105.91745400298358</v>
      </c>
    </row>
    <row r="16" spans="1:50" ht="294.75" customHeight="1" x14ac:dyDescent="0.65">
      <c r="A16" s="161" t="s">
        <v>35</v>
      </c>
      <c r="B16" s="159" t="s">
        <v>423</v>
      </c>
      <c r="C16" s="159" t="s">
        <v>29</v>
      </c>
      <c r="D16" s="155">
        <v>0</v>
      </c>
      <c r="E16" s="162">
        <v>4569.3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4569.3</v>
      </c>
      <c r="L16" s="155">
        <v>0</v>
      </c>
      <c r="M16" s="155">
        <v>0</v>
      </c>
      <c r="N16" s="155">
        <v>0</v>
      </c>
      <c r="O16" s="155">
        <v>0</v>
      </c>
      <c r="P16" s="155">
        <v>2833.2</v>
      </c>
      <c r="Q16" s="155">
        <v>0</v>
      </c>
      <c r="R16" s="155">
        <v>0</v>
      </c>
      <c r="S16" s="155">
        <v>0</v>
      </c>
      <c r="T16" s="155">
        <v>40.5</v>
      </c>
      <c r="U16" s="158" t="s">
        <v>399</v>
      </c>
      <c r="V16" s="150"/>
      <c r="W16" s="151" t="s">
        <v>33</v>
      </c>
      <c r="X16" s="150">
        <v>20</v>
      </c>
      <c r="Y16" s="150">
        <v>16</v>
      </c>
      <c r="Z16" s="151" t="s">
        <v>520</v>
      </c>
      <c r="AA16" s="158" t="s">
        <v>293</v>
      </c>
      <c r="AB16" s="158"/>
      <c r="AC16" s="126">
        <f>P16-K16</f>
        <v>-1736.1000000000004</v>
      </c>
      <c r="AD16" s="19"/>
      <c r="AE16" s="2"/>
      <c r="AJ16" s="136"/>
      <c r="AN16" s="116" t="s">
        <v>305</v>
      </c>
      <c r="AQ16" s="192" t="e">
        <f t="shared" ref="AQ16:AQ79" si="1">N16/I16*100</f>
        <v>#DIV/0!</v>
      </c>
      <c r="AV16" s="192">
        <f t="shared" ref="AV16:AV79" si="2">P16/K16*100</f>
        <v>62.00512113452826</v>
      </c>
      <c r="AX16" s="193">
        <f t="shared" ref="AX16:AX79" si="3">Y16/X16*100</f>
        <v>80</v>
      </c>
    </row>
    <row r="17" spans="1:50" ht="295.5" customHeight="1" x14ac:dyDescent="0.65">
      <c r="A17" s="161" t="s">
        <v>36</v>
      </c>
      <c r="B17" s="159" t="s">
        <v>37</v>
      </c>
      <c r="C17" s="159" t="s">
        <v>29</v>
      </c>
      <c r="D17" s="155">
        <v>0</v>
      </c>
      <c r="E17" s="155">
        <v>21746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21746</v>
      </c>
      <c r="L17" s="155">
        <v>0</v>
      </c>
      <c r="M17" s="155">
        <v>0</v>
      </c>
      <c r="N17" s="155">
        <v>0</v>
      </c>
      <c r="O17" s="155">
        <v>0</v>
      </c>
      <c r="P17" s="155">
        <v>16370.5</v>
      </c>
      <c r="Q17" s="155">
        <v>0</v>
      </c>
      <c r="R17" s="155">
        <v>0</v>
      </c>
      <c r="S17" s="155">
        <v>0</v>
      </c>
      <c r="T17" s="155">
        <v>218.3</v>
      </c>
      <c r="U17" s="96" t="s">
        <v>475</v>
      </c>
      <c r="V17" s="18"/>
      <c r="W17" s="151" t="s">
        <v>33</v>
      </c>
      <c r="X17" s="150">
        <v>83</v>
      </c>
      <c r="Y17" s="150">
        <v>80</v>
      </c>
      <c r="Z17" s="151" t="s">
        <v>520</v>
      </c>
      <c r="AA17" s="158" t="s">
        <v>293</v>
      </c>
      <c r="AB17" s="158">
        <f>P17-K17</f>
        <v>-5375.5</v>
      </c>
      <c r="AC17" s="126">
        <f t="shared" ref="AC17:AC81" si="4">P17-K17</f>
        <v>-5375.5</v>
      </c>
      <c r="AD17" s="19"/>
      <c r="AE17" s="2"/>
      <c r="AJ17" s="136"/>
      <c r="AN17" s="116" t="s">
        <v>305</v>
      </c>
      <c r="AQ17" s="192" t="e">
        <f t="shared" si="1"/>
        <v>#DIV/0!</v>
      </c>
      <c r="AV17" s="192">
        <f t="shared" si="2"/>
        <v>75.280511358410735</v>
      </c>
      <c r="AX17" s="193">
        <f t="shared" si="3"/>
        <v>96.385542168674704</v>
      </c>
    </row>
    <row r="18" spans="1:50" ht="288.75" customHeight="1" x14ac:dyDescent="0.65">
      <c r="A18" s="161" t="s">
        <v>38</v>
      </c>
      <c r="B18" s="159" t="s">
        <v>424</v>
      </c>
      <c r="C18" s="159" t="s">
        <v>29</v>
      </c>
      <c r="D18" s="155">
        <v>0</v>
      </c>
      <c r="E18" s="155">
        <v>19222.2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19222.2</v>
      </c>
      <c r="L18" s="155">
        <v>0</v>
      </c>
      <c r="M18" s="155">
        <v>0</v>
      </c>
      <c r="N18" s="155">
        <v>0</v>
      </c>
      <c r="O18" s="155">
        <v>0</v>
      </c>
      <c r="P18" s="155">
        <v>18742.400000000001</v>
      </c>
      <c r="Q18" s="155">
        <v>0</v>
      </c>
      <c r="R18" s="155">
        <v>0</v>
      </c>
      <c r="S18" s="155">
        <v>0</v>
      </c>
      <c r="T18" s="155">
        <v>276.39999999999998</v>
      </c>
      <c r="U18" s="158" t="s">
        <v>400</v>
      </c>
      <c r="V18" s="150"/>
      <c r="W18" s="151" t="s">
        <v>33</v>
      </c>
      <c r="X18" s="157">
        <v>10068</v>
      </c>
      <c r="Y18" s="157">
        <v>9695</v>
      </c>
      <c r="Z18" s="151" t="s">
        <v>520</v>
      </c>
      <c r="AA18" s="158" t="s">
        <v>293</v>
      </c>
      <c r="AB18" s="158">
        <f>P18-K18</f>
        <v>-479.79999999999927</v>
      </c>
      <c r="AC18" s="126">
        <f t="shared" si="4"/>
        <v>-479.79999999999927</v>
      </c>
      <c r="AD18" s="19"/>
      <c r="AE18" s="2"/>
      <c r="AJ18" s="136"/>
      <c r="AN18" s="116" t="s">
        <v>305</v>
      </c>
      <c r="AQ18" s="192" t="e">
        <f t="shared" si="1"/>
        <v>#DIV/0!</v>
      </c>
      <c r="AV18" s="192">
        <f t="shared" si="2"/>
        <v>97.503927750205506</v>
      </c>
      <c r="AX18" s="193">
        <f t="shared" si="3"/>
        <v>96.295192689709978</v>
      </c>
    </row>
    <row r="19" spans="1:50" ht="294" customHeight="1" x14ac:dyDescent="0.65">
      <c r="A19" s="161" t="s">
        <v>39</v>
      </c>
      <c r="B19" s="159" t="s">
        <v>40</v>
      </c>
      <c r="C19" s="159" t="s">
        <v>29</v>
      </c>
      <c r="D19" s="155">
        <v>159028.79999999999</v>
      </c>
      <c r="E19" s="155">
        <v>0</v>
      </c>
      <c r="F19" s="155">
        <v>0</v>
      </c>
      <c r="G19" s="155">
        <v>0</v>
      </c>
      <c r="H19" s="155">
        <v>0</v>
      </c>
      <c r="I19" s="155">
        <v>159028.79999999999</v>
      </c>
      <c r="J19" s="155">
        <v>0</v>
      </c>
      <c r="K19" s="155">
        <v>0</v>
      </c>
      <c r="L19" s="155">
        <v>0</v>
      </c>
      <c r="M19" s="155">
        <v>0</v>
      </c>
      <c r="N19" s="155">
        <v>111430.2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  <c r="T19" s="155">
        <v>32</v>
      </c>
      <c r="U19" s="158" t="s">
        <v>401</v>
      </c>
      <c r="V19" s="150"/>
      <c r="W19" s="151" t="s">
        <v>33</v>
      </c>
      <c r="X19" s="157">
        <v>9326</v>
      </c>
      <c r="Y19" s="157">
        <v>9054</v>
      </c>
      <c r="Z19" s="151" t="s">
        <v>520</v>
      </c>
      <c r="AA19" s="158" t="s">
        <v>293</v>
      </c>
      <c r="AB19" s="158">
        <f>N19-I19</f>
        <v>-47598.599999999991</v>
      </c>
      <c r="AC19" s="126">
        <f>N19-I19</f>
        <v>-47598.599999999991</v>
      </c>
      <c r="AD19" s="19"/>
      <c r="AE19" s="2"/>
      <c r="AJ19" s="135"/>
      <c r="AN19" s="116" t="s">
        <v>305</v>
      </c>
      <c r="AQ19" s="192">
        <f t="shared" si="1"/>
        <v>70.069195013733363</v>
      </c>
      <c r="AV19" s="192" t="e">
        <f t="shared" si="2"/>
        <v>#DIV/0!</v>
      </c>
      <c r="AX19" s="193">
        <f t="shared" si="3"/>
        <v>97.083422689255855</v>
      </c>
    </row>
    <row r="20" spans="1:50" ht="297.75" customHeight="1" x14ac:dyDescent="0.65">
      <c r="A20" s="151" t="s">
        <v>41</v>
      </c>
      <c r="B20" s="159" t="s">
        <v>42</v>
      </c>
      <c r="C20" s="159" t="s">
        <v>29</v>
      </c>
      <c r="D20" s="155">
        <v>278.2</v>
      </c>
      <c r="E20" s="162">
        <v>0</v>
      </c>
      <c r="F20" s="155">
        <v>0</v>
      </c>
      <c r="G20" s="155">
        <v>0</v>
      </c>
      <c r="H20" s="155">
        <v>0</v>
      </c>
      <c r="I20" s="155">
        <v>278.2</v>
      </c>
      <c r="J20" s="155">
        <v>0</v>
      </c>
      <c r="K20" s="155">
        <v>0</v>
      </c>
      <c r="L20" s="155">
        <v>0</v>
      </c>
      <c r="M20" s="155">
        <v>0</v>
      </c>
      <c r="N20" s="155">
        <v>103.1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  <c r="T20" s="155">
        <v>0</v>
      </c>
      <c r="U20" s="158" t="s">
        <v>402</v>
      </c>
      <c r="V20" s="150"/>
      <c r="W20" s="151" t="s">
        <v>33</v>
      </c>
      <c r="X20" s="150">
        <v>9</v>
      </c>
      <c r="Y20" s="150">
        <v>8</v>
      </c>
      <c r="Z20" s="151" t="s">
        <v>520</v>
      </c>
      <c r="AA20" s="158" t="s">
        <v>293</v>
      </c>
      <c r="AB20" s="158">
        <f>N20-I20</f>
        <v>-175.1</v>
      </c>
      <c r="AC20" s="126">
        <f>N20-I20</f>
        <v>-175.1</v>
      </c>
      <c r="AD20" s="19"/>
      <c r="AE20" s="2"/>
      <c r="AJ20" s="135"/>
      <c r="AN20" s="116" t="s">
        <v>305</v>
      </c>
      <c r="AQ20" s="192">
        <f t="shared" si="1"/>
        <v>37.059669302659955</v>
      </c>
      <c r="AV20" s="192" t="e">
        <f t="shared" si="2"/>
        <v>#DIV/0!</v>
      </c>
      <c r="AX20" s="193">
        <f t="shared" si="3"/>
        <v>88.888888888888886</v>
      </c>
    </row>
    <row r="21" spans="1:50" ht="408.75" customHeight="1" x14ac:dyDescent="0.65">
      <c r="A21" s="203" t="s">
        <v>43</v>
      </c>
      <c r="B21" s="201" t="s">
        <v>426</v>
      </c>
      <c r="C21" s="201" t="s">
        <v>29</v>
      </c>
      <c r="D21" s="229">
        <v>0</v>
      </c>
      <c r="E21" s="229">
        <v>2572995.6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2422365.6</v>
      </c>
      <c r="L21" s="216">
        <v>0</v>
      </c>
      <c r="M21" s="216">
        <v>0</v>
      </c>
      <c r="N21" s="216">
        <v>0</v>
      </c>
      <c r="O21" s="216">
        <v>0</v>
      </c>
      <c r="P21" s="216">
        <v>1954596.7</v>
      </c>
      <c r="Q21" s="216">
        <v>0</v>
      </c>
      <c r="R21" s="216">
        <v>0</v>
      </c>
      <c r="S21" s="216">
        <v>0</v>
      </c>
      <c r="T21" s="216">
        <v>30111.7</v>
      </c>
      <c r="U21" s="222" t="s">
        <v>476</v>
      </c>
      <c r="V21" s="202"/>
      <c r="W21" s="203" t="s">
        <v>33</v>
      </c>
      <c r="X21" s="218">
        <v>374853</v>
      </c>
      <c r="Y21" s="218">
        <v>385689</v>
      </c>
      <c r="Z21" s="203" t="s">
        <v>34</v>
      </c>
      <c r="AA21" s="222"/>
      <c r="AB21" s="158">
        <f>P21-K21</f>
        <v>-467768.90000000014</v>
      </c>
      <c r="AC21" s="126">
        <f t="shared" si="4"/>
        <v>-467768.90000000014</v>
      </c>
      <c r="AD21" s="19"/>
      <c r="AE21" s="121"/>
      <c r="AJ21" s="216"/>
      <c r="AN21" s="116" t="s">
        <v>305</v>
      </c>
      <c r="AQ21" s="192" t="e">
        <f t="shared" si="1"/>
        <v>#DIV/0!</v>
      </c>
      <c r="AV21" s="192">
        <f t="shared" si="2"/>
        <v>80.689582943218809</v>
      </c>
      <c r="AX21" s="193">
        <f t="shared" si="3"/>
        <v>102.89073316740162</v>
      </c>
    </row>
    <row r="22" spans="1:50" ht="123" customHeight="1" x14ac:dyDescent="0.65">
      <c r="A22" s="203"/>
      <c r="B22" s="201"/>
      <c r="C22" s="201"/>
      <c r="D22" s="229"/>
      <c r="E22" s="229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22"/>
      <c r="V22" s="202"/>
      <c r="W22" s="203"/>
      <c r="X22" s="218"/>
      <c r="Y22" s="218"/>
      <c r="Z22" s="203"/>
      <c r="AA22" s="222"/>
      <c r="AB22" s="158"/>
      <c r="AC22" s="126">
        <f t="shared" si="4"/>
        <v>0</v>
      </c>
      <c r="AD22" s="19"/>
      <c r="AE22" s="2"/>
      <c r="AJ22" s="216"/>
      <c r="AQ22" s="192" t="e">
        <f t="shared" si="1"/>
        <v>#DIV/0!</v>
      </c>
      <c r="AV22" s="192" t="e">
        <f t="shared" si="2"/>
        <v>#DIV/0!</v>
      </c>
      <c r="AX22" s="193" t="e">
        <f t="shared" si="3"/>
        <v>#DIV/0!</v>
      </c>
    </row>
    <row r="23" spans="1:50" ht="336" customHeight="1" x14ac:dyDescent="0.65">
      <c r="A23" s="97" t="s">
        <v>45</v>
      </c>
      <c r="B23" s="159" t="s">
        <v>425</v>
      </c>
      <c r="C23" s="159" t="s">
        <v>29</v>
      </c>
      <c r="D23" s="155">
        <v>0</v>
      </c>
      <c r="E23" s="162">
        <v>1184118.3999999999</v>
      </c>
      <c r="F23" s="162">
        <v>0</v>
      </c>
      <c r="G23" s="155">
        <v>0</v>
      </c>
      <c r="H23" s="155">
        <v>0</v>
      </c>
      <c r="I23" s="155">
        <v>0</v>
      </c>
      <c r="J23" s="155">
        <v>0</v>
      </c>
      <c r="K23" s="162">
        <v>1184118.3999999999</v>
      </c>
      <c r="L23" s="155">
        <v>0</v>
      </c>
      <c r="M23" s="155">
        <v>0</v>
      </c>
      <c r="N23" s="155">
        <v>0</v>
      </c>
      <c r="O23" s="155">
        <v>0</v>
      </c>
      <c r="P23" s="155">
        <v>863125.5</v>
      </c>
      <c r="Q23" s="155">
        <v>0</v>
      </c>
      <c r="R23" s="155">
        <v>0</v>
      </c>
      <c r="S23" s="155">
        <v>0</v>
      </c>
      <c r="T23" s="155">
        <v>12292</v>
      </c>
      <c r="U23" s="98" t="s">
        <v>477</v>
      </c>
      <c r="V23" s="18"/>
      <c r="W23" s="96" t="s">
        <v>46</v>
      </c>
      <c r="X23" s="157">
        <v>64756</v>
      </c>
      <c r="Y23" s="157">
        <v>55503</v>
      </c>
      <c r="Z23" s="151" t="s">
        <v>520</v>
      </c>
      <c r="AA23" s="158" t="s">
        <v>293</v>
      </c>
      <c r="AB23" s="158">
        <f>P23-K23</f>
        <v>-320992.89999999991</v>
      </c>
      <c r="AC23" s="126">
        <f t="shared" si="4"/>
        <v>-320992.89999999991</v>
      </c>
      <c r="AD23" s="19"/>
      <c r="AE23" s="2"/>
      <c r="AJ23" s="135"/>
      <c r="AN23" s="116" t="s">
        <v>306</v>
      </c>
      <c r="AQ23" s="192" t="e">
        <f t="shared" si="1"/>
        <v>#DIV/0!</v>
      </c>
      <c r="AV23" s="192">
        <f t="shared" si="2"/>
        <v>72.891823993276347</v>
      </c>
      <c r="AX23" s="193">
        <f t="shared" si="3"/>
        <v>85.710976589041948</v>
      </c>
    </row>
    <row r="24" spans="1:50" ht="408.75" customHeight="1" x14ac:dyDescent="0.65">
      <c r="A24" s="204" t="s">
        <v>47</v>
      </c>
      <c r="B24" s="197" t="s">
        <v>427</v>
      </c>
      <c r="C24" s="197" t="s">
        <v>29</v>
      </c>
      <c r="D24" s="212">
        <v>4094382.6</v>
      </c>
      <c r="E24" s="214">
        <v>0</v>
      </c>
      <c r="F24" s="214">
        <v>0</v>
      </c>
      <c r="G24" s="212">
        <v>0</v>
      </c>
      <c r="H24" s="212">
        <v>0</v>
      </c>
      <c r="I24" s="212">
        <v>4094382.6</v>
      </c>
      <c r="J24" s="212">
        <v>0</v>
      </c>
      <c r="K24" s="212">
        <v>0</v>
      </c>
      <c r="L24" s="212">
        <v>0</v>
      </c>
      <c r="M24" s="212">
        <v>0</v>
      </c>
      <c r="N24" s="212">
        <v>2411909.7000000002</v>
      </c>
      <c r="O24" s="212">
        <v>0</v>
      </c>
      <c r="P24" s="212">
        <v>0</v>
      </c>
      <c r="Q24" s="212">
        <v>0</v>
      </c>
      <c r="R24" s="212">
        <v>0</v>
      </c>
      <c r="S24" s="212">
        <v>0</v>
      </c>
      <c r="T24" s="212">
        <v>17996.099999999999</v>
      </c>
      <c r="U24" s="206" t="s">
        <v>478</v>
      </c>
      <c r="V24" s="210"/>
      <c r="W24" s="194" t="s">
        <v>33</v>
      </c>
      <c r="X24" s="208">
        <v>502868</v>
      </c>
      <c r="Y24" s="208">
        <v>474910</v>
      </c>
      <c r="Z24" s="194" t="s">
        <v>520</v>
      </c>
      <c r="AA24" s="206" t="s">
        <v>293</v>
      </c>
      <c r="AB24" s="152">
        <f>N24-I24</f>
        <v>-1682472.9</v>
      </c>
      <c r="AC24" s="126">
        <f>N24-I24</f>
        <v>-1682472.9</v>
      </c>
      <c r="AD24" s="128"/>
      <c r="AE24" s="20"/>
      <c r="AJ24" s="135"/>
      <c r="AN24" s="116" t="s">
        <v>306</v>
      </c>
      <c r="AQ24" s="192">
        <f t="shared" si="1"/>
        <v>58.907775252854975</v>
      </c>
      <c r="AV24" s="192" t="e">
        <f t="shared" si="2"/>
        <v>#DIV/0!</v>
      </c>
      <c r="AX24" s="193">
        <f t="shared" si="3"/>
        <v>94.440290493727971</v>
      </c>
    </row>
    <row r="25" spans="1:50" ht="53.25" customHeight="1" x14ac:dyDescent="0.65">
      <c r="A25" s="205"/>
      <c r="B25" s="198"/>
      <c r="C25" s="198"/>
      <c r="D25" s="213"/>
      <c r="E25" s="215"/>
      <c r="F25" s="215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07"/>
      <c r="V25" s="211"/>
      <c r="W25" s="196"/>
      <c r="X25" s="209"/>
      <c r="Y25" s="209"/>
      <c r="Z25" s="196"/>
      <c r="AA25" s="207"/>
      <c r="AB25" s="153"/>
      <c r="AC25" s="126">
        <f t="shared" si="4"/>
        <v>0</v>
      </c>
      <c r="AD25" s="128"/>
      <c r="AE25" s="20"/>
      <c r="AJ25" s="135"/>
      <c r="AQ25" s="192" t="e">
        <f t="shared" si="1"/>
        <v>#DIV/0!</v>
      </c>
      <c r="AV25" s="192" t="e">
        <f t="shared" si="2"/>
        <v>#DIV/0!</v>
      </c>
      <c r="AX25" s="193" t="e">
        <f t="shared" si="3"/>
        <v>#DIV/0!</v>
      </c>
    </row>
    <row r="26" spans="1:50" ht="408.75" customHeight="1" x14ac:dyDescent="0.65">
      <c r="A26" s="226" t="s">
        <v>48</v>
      </c>
      <c r="B26" s="201" t="s">
        <v>428</v>
      </c>
      <c r="C26" s="201" t="s">
        <v>29</v>
      </c>
      <c r="D26" s="216">
        <v>6022.7</v>
      </c>
      <c r="E26" s="229">
        <v>14165.5</v>
      </c>
      <c r="F26" s="229">
        <v>0</v>
      </c>
      <c r="G26" s="216">
        <v>0</v>
      </c>
      <c r="H26" s="216">
        <v>0</v>
      </c>
      <c r="I26" s="216">
        <v>6022.7</v>
      </c>
      <c r="J26" s="216">
        <v>0</v>
      </c>
      <c r="K26" s="216">
        <v>14165.5</v>
      </c>
      <c r="L26" s="216">
        <v>0</v>
      </c>
      <c r="M26" s="216">
        <v>0</v>
      </c>
      <c r="N26" s="216">
        <v>6022.7</v>
      </c>
      <c r="O26" s="216">
        <v>0</v>
      </c>
      <c r="P26" s="216">
        <f>1902+7394.2</f>
        <v>9296.2000000000007</v>
      </c>
      <c r="Q26" s="216">
        <v>0</v>
      </c>
      <c r="R26" s="216">
        <v>0</v>
      </c>
      <c r="S26" s="216">
        <v>0</v>
      </c>
      <c r="T26" s="216">
        <v>225.3</v>
      </c>
      <c r="U26" s="222" t="s">
        <v>479</v>
      </c>
      <c r="V26" s="202"/>
      <c r="W26" s="203" t="s">
        <v>33</v>
      </c>
      <c r="X26" s="218">
        <v>11000</v>
      </c>
      <c r="Y26" s="218">
        <v>11196</v>
      </c>
      <c r="Z26" s="203" t="s">
        <v>34</v>
      </c>
      <c r="AA26" s="219"/>
      <c r="AB26" s="158"/>
      <c r="AC26" s="126">
        <f>P26-K26</f>
        <v>-4869.2999999999993</v>
      </c>
      <c r="AD26" s="19"/>
      <c r="AE26" s="2"/>
      <c r="AJ26" s="135"/>
      <c r="AN26" s="116" t="s">
        <v>306</v>
      </c>
      <c r="AQ26" s="192">
        <f t="shared" si="1"/>
        <v>100</v>
      </c>
      <c r="AV26" s="192">
        <f t="shared" si="2"/>
        <v>65.625639758568354</v>
      </c>
      <c r="AX26" s="193">
        <f t="shared" si="3"/>
        <v>101.78181818181817</v>
      </c>
    </row>
    <row r="27" spans="1:50" ht="131.25" customHeight="1" x14ac:dyDescent="0.65">
      <c r="A27" s="226"/>
      <c r="B27" s="201"/>
      <c r="C27" s="201"/>
      <c r="D27" s="216"/>
      <c r="E27" s="229"/>
      <c r="F27" s="229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22"/>
      <c r="V27" s="202"/>
      <c r="W27" s="203"/>
      <c r="X27" s="218"/>
      <c r="Y27" s="218"/>
      <c r="Z27" s="203"/>
      <c r="AA27" s="221"/>
      <c r="AB27" s="158"/>
      <c r="AC27" s="126"/>
      <c r="AD27" s="19"/>
      <c r="AE27" s="2"/>
      <c r="AJ27" s="135"/>
      <c r="AQ27" s="192" t="e">
        <f t="shared" si="1"/>
        <v>#DIV/0!</v>
      </c>
      <c r="AV27" s="192" t="e">
        <f t="shared" si="2"/>
        <v>#DIV/0!</v>
      </c>
      <c r="AX27" s="193" t="e">
        <f t="shared" si="3"/>
        <v>#DIV/0!</v>
      </c>
    </row>
    <row r="28" spans="1:50" ht="409.6" customHeight="1" x14ac:dyDescent="0.65">
      <c r="A28" s="96" t="s">
        <v>49</v>
      </c>
      <c r="B28" s="159" t="s">
        <v>429</v>
      </c>
      <c r="C28" s="159" t="s">
        <v>29</v>
      </c>
      <c r="D28" s="155">
        <v>0</v>
      </c>
      <c r="E28" s="162">
        <v>4111881.6</v>
      </c>
      <c r="F28" s="162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4111881.6</v>
      </c>
      <c r="L28" s="155">
        <v>0</v>
      </c>
      <c r="M28" s="155">
        <v>0</v>
      </c>
      <c r="N28" s="155">
        <v>0</v>
      </c>
      <c r="O28" s="155">
        <v>0</v>
      </c>
      <c r="P28" s="155">
        <v>2657865.2000000002</v>
      </c>
      <c r="Q28" s="155">
        <v>0</v>
      </c>
      <c r="R28" s="155">
        <v>0</v>
      </c>
      <c r="S28" s="155">
        <v>0</v>
      </c>
      <c r="T28" s="155">
        <v>39928.199999999997</v>
      </c>
      <c r="U28" s="96" t="s">
        <v>480</v>
      </c>
      <c r="V28" s="18"/>
      <c r="W28" s="96" t="s">
        <v>33</v>
      </c>
      <c r="X28" s="157">
        <v>372294</v>
      </c>
      <c r="Y28" s="157">
        <v>366735</v>
      </c>
      <c r="Z28" s="151" t="s">
        <v>520</v>
      </c>
      <c r="AA28" s="158" t="s">
        <v>293</v>
      </c>
      <c r="AB28" s="158">
        <f>P28-K28</f>
        <v>-1454016.4</v>
      </c>
      <c r="AC28" s="126">
        <f t="shared" si="4"/>
        <v>-1454016.4</v>
      </c>
      <c r="AD28" s="19"/>
      <c r="AE28" s="2"/>
      <c r="AJ28" s="135"/>
      <c r="AN28" s="116" t="s">
        <v>306</v>
      </c>
      <c r="AQ28" s="192" t="e">
        <f t="shared" si="1"/>
        <v>#DIV/0!</v>
      </c>
      <c r="AV28" s="192">
        <f t="shared" si="2"/>
        <v>64.638660801906369</v>
      </c>
      <c r="AX28" s="193">
        <f t="shared" si="3"/>
        <v>98.506825251011293</v>
      </c>
    </row>
    <row r="29" spans="1:50" ht="409.6" customHeight="1" x14ac:dyDescent="0.65">
      <c r="A29" s="226" t="s">
        <v>50</v>
      </c>
      <c r="B29" s="201" t="s">
        <v>430</v>
      </c>
      <c r="C29" s="201" t="s">
        <v>29</v>
      </c>
      <c r="D29" s="216">
        <v>0</v>
      </c>
      <c r="E29" s="229">
        <v>5652.5</v>
      </c>
      <c r="F29" s="229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5652.5</v>
      </c>
      <c r="L29" s="216">
        <v>0</v>
      </c>
      <c r="M29" s="216">
        <v>0</v>
      </c>
      <c r="N29" s="216">
        <v>0</v>
      </c>
      <c r="O29" s="216">
        <v>0</v>
      </c>
      <c r="P29" s="216">
        <v>3837.5</v>
      </c>
      <c r="Q29" s="216">
        <v>0</v>
      </c>
      <c r="R29" s="216">
        <v>0</v>
      </c>
      <c r="S29" s="216">
        <v>0</v>
      </c>
      <c r="T29" s="216">
        <v>56.4</v>
      </c>
      <c r="U29" s="222" t="s">
        <v>481</v>
      </c>
      <c r="V29" s="202"/>
      <c r="W29" s="203" t="s">
        <v>33</v>
      </c>
      <c r="X29" s="202">
        <v>674</v>
      </c>
      <c r="Y29" s="202">
        <v>619</v>
      </c>
      <c r="Z29" s="203" t="s">
        <v>520</v>
      </c>
      <c r="AA29" s="206" t="s">
        <v>293</v>
      </c>
      <c r="AB29" s="158">
        <f>P29-K29</f>
        <v>-1815</v>
      </c>
      <c r="AC29" s="126">
        <f t="shared" si="4"/>
        <v>-1815</v>
      </c>
      <c r="AD29" s="19"/>
      <c r="AE29" s="21"/>
      <c r="AJ29" s="216"/>
      <c r="AN29" s="116" t="s">
        <v>305</v>
      </c>
      <c r="AQ29" s="192" t="e">
        <f t="shared" si="1"/>
        <v>#DIV/0!</v>
      </c>
      <c r="AV29" s="192">
        <f t="shared" si="2"/>
        <v>67.890314020344974</v>
      </c>
      <c r="AX29" s="193">
        <f t="shared" si="3"/>
        <v>91.839762611275972</v>
      </c>
    </row>
    <row r="30" spans="1:50" ht="192" customHeight="1" x14ac:dyDescent="0.65">
      <c r="A30" s="226"/>
      <c r="B30" s="201"/>
      <c r="C30" s="201"/>
      <c r="D30" s="216"/>
      <c r="E30" s="229"/>
      <c r="F30" s="229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22"/>
      <c r="V30" s="202"/>
      <c r="W30" s="203"/>
      <c r="X30" s="202"/>
      <c r="Y30" s="202"/>
      <c r="Z30" s="203"/>
      <c r="AA30" s="207"/>
      <c r="AB30" s="158"/>
      <c r="AC30" s="126"/>
      <c r="AD30" s="19"/>
      <c r="AE30" s="2"/>
      <c r="AJ30" s="216"/>
      <c r="AQ30" s="192" t="e">
        <f t="shared" si="1"/>
        <v>#DIV/0!</v>
      </c>
      <c r="AV30" s="192" t="e">
        <f t="shared" si="2"/>
        <v>#DIV/0!</v>
      </c>
      <c r="AX30" s="193" t="e">
        <f t="shared" si="3"/>
        <v>#DIV/0!</v>
      </c>
    </row>
    <row r="31" spans="1:50" ht="408.75" customHeight="1" x14ac:dyDescent="0.65">
      <c r="A31" s="226" t="s">
        <v>51</v>
      </c>
      <c r="B31" s="201" t="s">
        <v>431</v>
      </c>
      <c r="C31" s="201" t="s">
        <v>29</v>
      </c>
      <c r="D31" s="216">
        <v>0</v>
      </c>
      <c r="E31" s="229">
        <v>12275.4</v>
      </c>
      <c r="F31" s="216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12275.4</v>
      </c>
      <c r="L31" s="216">
        <v>0</v>
      </c>
      <c r="M31" s="216">
        <v>0</v>
      </c>
      <c r="N31" s="216">
        <v>0</v>
      </c>
      <c r="O31" s="216">
        <v>0</v>
      </c>
      <c r="P31" s="216">
        <v>8354.2000000000007</v>
      </c>
      <c r="Q31" s="216">
        <v>0</v>
      </c>
      <c r="R31" s="216">
        <v>0</v>
      </c>
      <c r="S31" s="216">
        <v>0</v>
      </c>
      <c r="T31" s="216">
        <v>128.4</v>
      </c>
      <c r="U31" s="222" t="s">
        <v>482</v>
      </c>
      <c r="V31" s="202"/>
      <c r="W31" s="203" t="s">
        <v>33</v>
      </c>
      <c r="X31" s="218">
        <v>1463</v>
      </c>
      <c r="Y31" s="218">
        <v>1371</v>
      </c>
      <c r="Z31" s="203" t="s">
        <v>520</v>
      </c>
      <c r="AA31" s="222" t="s">
        <v>293</v>
      </c>
      <c r="AB31" s="158">
        <f>P31-K31</f>
        <v>-3921.1999999999989</v>
      </c>
      <c r="AC31" s="126">
        <f t="shared" si="4"/>
        <v>-3921.1999999999989</v>
      </c>
      <c r="AD31" s="19"/>
      <c r="AE31" s="2"/>
      <c r="AJ31" s="216"/>
      <c r="AN31" s="116" t="s">
        <v>305</v>
      </c>
      <c r="AQ31" s="192" t="e">
        <f t="shared" si="1"/>
        <v>#DIV/0!</v>
      </c>
      <c r="AV31" s="192">
        <f t="shared" si="2"/>
        <v>68.056438079410867</v>
      </c>
      <c r="AX31" s="193">
        <f t="shared" si="3"/>
        <v>93.711551606288452</v>
      </c>
    </row>
    <row r="32" spans="1:50" ht="192" customHeight="1" x14ac:dyDescent="0.65">
      <c r="A32" s="226"/>
      <c r="B32" s="201"/>
      <c r="C32" s="201"/>
      <c r="D32" s="216"/>
      <c r="E32" s="229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22"/>
      <c r="V32" s="202"/>
      <c r="W32" s="203"/>
      <c r="X32" s="218"/>
      <c r="Y32" s="218"/>
      <c r="Z32" s="203"/>
      <c r="AA32" s="222"/>
      <c r="AB32" s="158"/>
      <c r="AC32" s="126">
        <f t="shared" si="4"/>
        <v>0</v>
      </c>
      <c r="AD32" s="19"/>
      <c r="AE32" s="2"/>
      <c r="AJ32" s="216"/>
      <c r="AQ32" s="192" t="e">
        <f t="shared" si="1"/>
        <v>#DIV/0!</v>
      </c>
      <c r="AV32" s="192" t="e">
        <f t="shared" si="2"/>
        <v>#DIV/0!</v>
      </c>
      <c r="AX32" s="193" t="e">
        <f t="shared" si="3"/>
        <v>#DIV/0!</v>
      </c>
    </row>
    <row r="33" spans="1:50" ht="288" customHeight="1" x14ac:dyDescent="0.65">
      <c r="A33" s="161" t="s">
        <v>52</v>
      </c>
      <c r="B33" s="159" t="s">
        <v>53</v>
      </c>
      <c r="C33" s="159" t="s">
        <v>29</v>
      </c>
      <c r="D33" s="155">
        <v>0</v>
      </c>
      <c r="E33" s="162">
        <v>3681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3681</v>
      </c>
      <c r="L33" s="155">
        <v>0</v>
      </c>
      <c r="M33" s="155">
        <v>0</v>
      </c>
      <c r="N33" s="155">
        <v>0</v>
      </c>
      <c r="O33" s="155">
        <v>0</v>
      </c>
      <c r="P33" s="155">
        <v>1670.2</v>
      </c>
      <c r="Q33" s="155">
        <v>0</v>
      </c>
      <c r="R33" s="155">
        <v>0</v>
      </c>
      <c r="S33" s="155">
        <v>0</v>
      </c>
      <c r="T33" s="155">
        <v>16.2</v>
      </c>
      <c r="U33" s="158" t="s">
        <v>403</v>
      </c>
      <c r="V33" s="150"/>
      <c r="W33" s="151" t="s">
        <v>33</v>
      </c>
      <c r="X33" s="150">
        <v>377</v>
      </c>
      <c r="Y33" s="150">
        <v>330</v>
      </c>
      <c r="Z33" s="151" t="s">
        <v>520</v>
      </c>
      <c r="AA33" s="158" t="s">
        <v>293</v>
      </c>
      <c r="AB33" s="158">
        <f>P33-K33</f>
        <v>-2010.8</v>
      </c>
      <c r="AC33" s="126">
        <f t="shared" si="4"/>
        <v>-2010.8</v>
      </c>
      <c r="AD33" s="19"/>
      <c r="AE33" s="2"/>
      <c r="AJ33" s="135"/>
      <c r="AN33" s="116" t="s">
        <v>306</v>
      </c>
      <c r="AQ33" s="192" t="e">
        <f t="shared" si="1"/>
        <v>#DIV/0!</v>
      </c>
      <c r="AV33" s="192">
        <f t="shared" si="2"/>
        <v>45.37353979896767</v>
      </c>
      <c r="AX33" s="193">
        <f t="shared" si="3"/>
        <v>87.533156498673733</v>
      </c>
    </row>
    <row r="34" spans="1:50" ht="393.75" customHeight="1" x14ac:dyDescent="0.65">
      <c r="A34" s="161" t="s">
        <v>55</v>
      </c>
      <c r="B34" s="159" t="s">
        <v>298</v>
      </c>
      <c r="C34" s="159" t="s">
        <v>29</v>
      </c>
      <c r="D34" s="155">
        <v>0</v>
      </c>
      <c r="E34" s="162">
        <v>83.2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83.2</v>
      </c>
      <c r="L34" s="155">
        <v>0</v>
      </c>
      <c r="M34" s="155">
        <v>0</v>
      </c>
      <c r="N34" s="155">
        <v>0</v>
      </c>
      <c r="O34" s="155">
        <v>0</v>
      </c>
      <c r="P34" s="155">
        <v>40</v>
      </c>
      <c r="Q34" s="155">
        <v>0</v>
      </c>
      <c r="R34" s="155">
        <v>0</v>
      </c>
      <c r="S34" s="155">
        <v>0</v>
      </c>
      <c r="T34" s="155">
        <v>0.6</v>
      </c>
      <c r="U34" s="158" t="s">
        <v>404</v>
      </c>
      <c r="V34" s="150"/>
      <c r="W34" s="151" t="s">
        <v>33</v>
      </c>
      <c r="X34" s="150">
        <v>47</v>
      </c>
      <c r="Y34" s="150">
        <v>22</v>
      </c>
      <c r="Z34" s="151" t="s">
        <v>520</v>
      </c>
      <c r="AA34" s="158" t="s">
        <v>293</v>
      </c>
      <c r="AB34" s="158"/>
      <c r="AC34" s="126">
        <f t="shared" si="4"/>
        <v>-43.2</v>
      </c>
      <c r="AD34" s="19"/>
      <c r="AE34" s="2"/>
      <c r="AJ34" s="135"/>
      <c r="AQ34" s="192" t="e">
        <f t="shared" si="1"/>
        <v>#DIV/0!</v>
      </c>
      <c r="AV34" s="192">
        <f t="shared" si="2"/>
        <v>48.076923076923073</v>
      </c>
      <c r="AX34" s="193">
        <f t="shared" si="3"/>
        <v>46.808510638297875</v>
      </c>
    </row>
    <row r="35" spans="1:50" ht="409.5" customHeight="1" x14ac:dyDescent="0.65">
      <c r="A35" s="203" t="s">
        <v>56</v>
      </c>
      <c r="B35" s="201" t="s">
        <v>432</v>
      </c>
      <c r="C35" s="201" t="s">
        <v>29</v>
      </c>
      <c r="D35" s="216">
        <v>895</v>
      </c>
      <c r="E35" s="216">
        <v>0</v>
      </c>
      <c r="F35" s="216">
        <v>0</v>
      </c>
      <c r="G35" s="216">
        <v>0</v>
      </c>
      <c r="H35" s="216">
        <v>0</v>
      </c>
      <c r="I35" s="216">
        <v>895</v>
      </c>
      <c r="J35" s="216">
        <v>0</v>
      </c>
      <c r="K35" s="216">
        <v>0</v>
      </c>
      <c r="L35" s="216">
        <v>0</v>
      </c>
      <c r="M35" s="216">
        <v>0</v>
      </c>
      <c r="N35" s="216">
        <v>722.9</v>
      </c>
      <c r="O35" s="216">
        <v>0</v>
      </c>
      <c r="P35" s="216">
        <v>0</v>
      </c>
      <c r="Q35" s="216">
        <v>0</v>
      </c>
      <c r="R35" s="216">
        <v>0</v>
      </c>
      <c r="S35" s="216">
        <v>0</v>
      </c>
      <c r="T35" s="216">
        <v>1</v>
      </c>
      <c r="U35" s="217" t="s">
        <v>405</v>
      </c>
      <c r="V35" s="202"/>
      <c r="W35" s="203" t="s">
        <v>33</v>
      </c>
      <c r="X35" s="202">
        <v>278</v>
      </c>
      <c r="Y35" s="202">
        <v>236</v>
      </c>
      <c r="Z35" s="203" t="s">
        <v>520</v>
      </c>
      <c r="AA35" s="222" t="s">
        <v>293</v>
      </c>
      <c r="AB35" s="158">
        <f>N35-I35</f>
        <v>-172.10000000000002</v>
      </c>
      <c r="AC35" s="126">
        <f>N35-I35</f>
        <v>-172.10000000000002</v>
      </c>
      <c r="AD35" s="19"/>
      <c r="AE35" s="2"/>
      <c r="AJ35" s="135"/>
      <c r="AN35" s="116" t="s">
        <v>305</v>
      </c>
      <c r="AQ35" s="192">
        <f t="shared" si="1"/>
        <v>80.770949720670387</v>
      </c>
      <c r="AV35" s="192" t="e">
        <f t="shared" si="2"/>
        <v>#DIV/0!</v>
      </c>
      <c r="AX35" s="193">
        <f t="shared" si="3"/>
        <v>84.892086330935257</v>
      </c>
    </row>
    <row r="36" spans="1:50" ht="57" customHeight="1" x14ac:dyDescent="0.65">
      <c r="A36" s="203"/>
      <c r="B36" s="201"/>
      <c r="C36" s="201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7"/>
      <c r="V36" s="202"/>
      <c r="W36" s="203"/>
      <c r="X36" s="202"/>
      <c r="Y36" s="202"/>
      <c r="Z36" s="203"/>
      <c r="AA36" s="222"/>
      <c r="AB36" s="158"/>
      <c r="AC36" s="126">
        <f t="shared" si="4"/>
        <v>0</v>
      </c>
      <c r="AD36" s="19"/>
      <c r="AE36" s="2"/>
      <c r="AJ36" s="135"/>
      <c r="AQ36" s="192" t="e">
        <f t="shared" si="1"/>
        <v>#DIV/0!</v>
      </c>
      <c r="AV36" s="192" t="e">
        <f t="shared" si="2"/>
        <v>#DIV/0!</v>
      </c>
      <c r="AX36" s="193" t="e">
        <f t="shared" si="3"/>
        <v>#DIV/0!</v>
      </c>
    </row>
    <row r="37" spans="1:50" ht="408.75" customHeight="1" x14ac:dyDescent="0.65">
      <c r="A37" s="203" t="s">
        <v>57</v>
      </c>
      <c r="B37" s="201" t="s">
        <v>433</v>
      </c>
      <c r="C37" s="201" t="s">
        <v>29</v>
      </c>
      <c r="D37" s="216">
        <v>0</v>
      </c>
      <c r="E37" s="216">
        <v>3082</v>
      </c>
      <c r="F37" s="216">
        <v>0</v>
      </c>
      <c r="G37" s="216">
        <v>0</v>
      </c>
      <c r="H37" s="216">
        <v>0</v>
      </c>
      <c r="I37" s="216">
        <v>0</v>
      </c>
      <c r="J37" s="216">
        <v>0</v>
      </c>
      <c r="K37" s="216">
        <v>3082</v>
      </c>
      <c r="L37" s="216">
        <v>0</v>
      </c>
      <c r="M37" s="216">
        <v>0</v>
      </c>
      <c r="N37" s="216">
        <v>0</v>
      </c>
      <c r="O37" s="216">
        <v>0</v>
      </c>
      <c r="P37" s="216">
        <v>1028</v>
      </c>
      <c r="Q37" s="216">
        <v>0</v>
      </c>
      <c r="R37" s="216">
        <v>0</v>
      </c>
      <c r="S37" s="216">
        <v>0</v>
      </c>
      <c r="T37" s="216">
        <v>15.8</v>
      </c>
      <c r="U37" s="222" t="s">
        <v>483</v>
      </c>
      <c r="V37" s="202"/>
      <c r="W37" s="203" t="s">
        <v>33</v>
      </c>
      <c r="X37" s="202">
        <v>428</v>
      </c>
      <c r="Y37" s="202">
        <v>188</v>
      </c>
      <c r="Z37" s="203" t="s">
        <v>520</v>
      </c>
      <c r="AA37" s="206" t="s">
        <v>293</v>
      </c>
      <c r="AB37" s="158">
        <f>P37-K37</f>
        <v>-2054</v>
      </c>
      <c r="AC37" s="126">
        <f t="shared" si="4"/>
        <v>-2054</v>
      </c>
      <c r="AD37" s="19"/>
      <c r="AE37" s="2"/>
      <c r="AJ37" s="135"/>
      <c r="AN37" s="116" t="s">
        <v>305</v>
      </c>
      <c r="AQ37" s="192" t="e">
        <f t="shared" si="1"/>
        <v>#DIV/0!</v>
      </c>
      <c r="AV37" s="192">
        <f t="shared" si="2"/>
        <v>33.354964308890331</v>
      </c>
      <c r="AX37" s="193">
        <f t="shared" si="3"/>
        <v>43.925233644859816</v>
      </c>
    </row>
    <row r="38" spans="1:50" ht="408.75" customHeight="1" x14ac:dyDescent="0.65">
      <c r="A38" s="203"/>
      <c r="B38" s="201"/>
      <c r="C38" s="201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22"/>
      <c r="V38" s="202"/>
      <c r="W38" s="203"/>
      <c r="X38" s="202"/>
      <c r="Y38" s="202"/>
      <c r="Z38" s="203"/>
      <c r="AA38" s="223"/>
      <c r="AB38" s="158"/>
      <c r="AC38" s="126"/>
      <c r="AD38" s="19"/>
      <c r="AE38" s="2"/>
      <c r="AJ38" s="216"/>
      <c r="AQ38" s="192" t="e">
        <f t="shared" si="1"/>
        <v>#DIV/0!</v>
      </c>
      <c r="AV38" s="192" t="e">
        <f t="shared" si="2"/>
        <v>#DIV/0!</v>
      </c>
      <c r="AX38" s="193" t="e">
        <f t="shared" si="3"/>
        <v>#DIV/0!</v>
      </c>
    </row>
    <row r="39" spans="1:50" ht="96.75" customHeight="1" x14ac:dyDescent="0.65">
      <c r="A39" s="203"/>
      <c r="B39" s="201"/>
      <c r="C39" s="201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22"/>
      <c r="V39" s="202"/>
      <c r="W39" s="203"/>
      <c r="X39" s="202"/>
      <c r="Y39" s="202"/>
      <c r="Z39" s="203"/>
      <c r="AA39" s="207"/>
      <c r="AB39" s="158"/>
      <c r="AC39" s="126"/>
      <c r="AD39" s="19"/>
      <c r="AE39" s="2"/>
      <c r="AJ39" s="216"/>
      <c r="AQ39" s="192" t="e">
        <f t="shared" si="1"/>
        <v>#DIV/0!</v>
      </c>
      <c r="AV39" s="192" t="e">
        <f t="shared" si="2"/>
        <v>#DIV/0!</v>
      </c>
      <c r="AX39" s="193" t="e">
        <f t="shared" si="3"/>
        <v>#DIV/0!</v>
      </c>
    </row>
    <row r="40" spans="1:50" ht="255" customHeight="1" x14ac:dyDescent="0.65">
      <c r="A40" s="161" t="s">
        <v>58</v>
      </c>
      <c r="B40" s="159" t="s">
        <v>59</v>
      </c>
      <c r="C40" s="159" t="s">
        <v>29</v>
      </c>
      <c r="D40" s="155">
        <v>0</v>
      </c>
      <c r="E40" s="155">
        <v>36116.300000000003</v>
      </c>
      <c r="F40" s="155">
        <v>0</v>
      </c>
      <c r="G40" s="155">
        <v>0</v>
      </c>
      <c r="H40" s="155">
        <v>0</v>
      </c>
      <c r="I40" s="155">
        <v>0</v>
      </c>
      <c r="J40" s="155">
        <v>0</v>
      </c>
      <c r="K40" s="155">
        <v>36116.300000000003</v>
      </c>
      <c r="L40" s="155">
        <v>0</v>
      </c>
      <c r="M40" s="155">
        <v>0</v>
      </c>
      <c r="N40" s="155">
        <v>0</v>
      </c>
      <c r="O40" s="155">
        <v>0</v>
      </c>
      <c r="P40" s="155">
        <v>25756</v>
      </c>
      <c r="Q40" s="155">
        <v>0</v>
      </c>
      <c r="R40" s="155">
        <v>0</v>
      </c>
      <c r="S40" s="155">
        <v>0</v>
      </c>
      <c r="T40" s="155">
        <v>457</v>
      </c>
      <c r="U40" s="159" t="s">
        <v>484</v>
      </c>
      <c r="V40" s="150"/>
      <c r="W40" s="151" t="s">
        <v>33</v>
      </c>
      <c r="X40" s="157">
        <v>6327</v>
      </c>
      <c r="Y40" s="157">
        <v>4549</v>
      </c>
      <c r="Z40" s="151" t="s">
        <v>520</v>
      </c>
      <c r="AA40" s="158" t="s">
        <v>293</v>
      </c>
      <c r="AB40" s="158">
        <f>P40-K40</f>
        <v>-10360.300000000003</v>
      </c>
      <c r="AC40" s="126">
        <f t="shared" si="4"/>
        <v>-10360.300000000003</v>
      </c>
      <c r="AD40" s="19"/>
      <c r="AE40" s="2"/>
      <c r="AJ40" s="135">
        <f>P40-K40</f>
        <v>-10360.300000000003</v>
      </c>
      <c r="AN40" s="116" t="s">
        <v>306</v>
      </c>
      <c r="AQ40" s="192" t="e">
        <f t="shared" si="1"/>
        <v>#DIV/0!</v>
      </c>
      <c r="AV40" s="192">
        <f t="shared" si="2"/>
        <v>71.314060410396408</v>
      </c>
      <c r="AX40" s="193">
        <f t="shared" si="3"/>
        <v>71.89821400347715</v>
      </c>
    </row>
    <row r="41" spans="1:50" ht="291.75" customHeight="1" x14ac:dyDescent="0.65">
      <c r="A41" s="226" t="s">
        <v>60</v>
      </c>
      <c r="B41" s="201" t="s">
        <v>61</v>
      </c>
      <c r="C41" s="201" t="s">
        <v>29</v>
      </c>
      <c r="D41" s="216">
        <v>0</v>
      </c>
      <c r="E41" s="229">
        <v>37.799999999999997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37.799999999999997</v>
      </c>
      <c r="L41" s="216">
        <v>0</v>
      </c>
      <c r="M41" s="216">
        <v>0</v>
      </c>
      <c r="N41" s="216">
        <v>0</v>
      </c>
      <c r="O41" s="216">
        <v>0</v>
      </c>
      <c r="P41" s="216">
        <v>0</v>
      </c>
      <c r="Q41" s="216">
        <v>0</v>
      </c>
      <c r="R41" s="216">
        <v>0</v>
      </c>
      <c r="S41" s="216">
        <v>0</v>
      </c>
      <c r="T41" s="216">
        <v>0</v>
      </c>
      <c r="U41" s="201" t="s">
        <v>319</v>
      </c>
      <c r="V41" s="232"/>
      <c r="W41" s="201" t="s">
        <v>33</v>
      </c>
      <c r="X41" s="202">
        <v>6</v>
      </c>
      <c r="Y41" s="202">
        <v>0</v>
      </c>
      <c r="Z41" s="203" t="s">
        <v>520</v>
      </c>
      <c r="AA41" s="222" t="s">
        <v>293</v>
      </c>
      <c r="AB41" s="158"/>
      <c r="AC41" s="126">
        <f t="shared" si="4"/>
        <v>-37.799999999999997</v>
      </c>
      <c r="AD41" s="19"/>
      <c r="AE41" s="2"/>
      <c r="AJ41" s="135"/>
      <c r="AN41" s="116" t="s">
        <v>305</v>
      </c>
      <c r="AQ41" s="192" t="e">
        <f t="shared" si="1"/>
        <v>#DIV/0!</v>
      </c>
      <c r="AV41" s="192">
        <f t="shared" si="2"/>
        <v>0</v>
      </c>
      <c r="AX41" s="193">
        <f t="shared" si="3"/>
        <v>0</v>
      </c>
    </row>
    <row r="42" spans="1:50" ht="161.25" hidden="1" customHeight="1" x14ac:dyDescent="0.65">
      <c r="A42" s="226"/>
      <c r="B42" s="201"/>
      <c r="C42" s="201"/>
      <c r="D42" s="216"/>
      <c r="E42" s="229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01"/>
      <c r="V42" s="232"/>
      <c r="W42" s="201"/>
      <c r="X42" s="202"/>
      <c r="Y42" s="202"/>
      <c r="Z42" s="203"/>
      <c r="AA42" s="222"/>
      <c r="AB42" s="158"/>
      <c r="AC42" s="126">
        <f t="shared" si="4"/>
        <v>0</v>
      </c>
      <c r="AD42" s="19"/>
      <c r="AE42" s="2"/>
      <c r="AJ42" s="216">
        <f>P43-K43</f>
        <v>-182.5</v>
      </c>
      <c r="AQ42" s="192" t="e">
        <f t="shared" si="1"/>
        <v>#DIV/0!</v>
      </c>
      <c r="AV42" s="192" t="e">
        <f t="shared" si="2"/>
        <v>#DIV/0!</v>
      </c>
      <c r="AX42" s="193" t="e">
        <f t="shared" si="3"/>
        <v>#DIV/0!</v>
      </c>
    </row>
    <row r="43" spans="1:50" ht="284.25" customHeight="1" x14ac:dyDescent="0.65">
      <c r="A43" s="161" t="s">
        <v>62</v>
      </c>
      <c r="B43" s="159" t="s">
        <v>63</v>
      </c>
      <c r="C43" s="159" t="s">
        <v>29</v>
      </c>
      <c r="D43" s="155">
        <v>0</v>
      </c>
      <c r="E43" s="155">
        <v>197.5</v>
      </c>
      <c r="F43" s="155">
        <v>0</v>
      </c>
      <c r="G43" s="155">
        <v>0</v>
      </c>
      <c r="H43" s="155">
        <v>0</v>
      </c>
      <c r="I43" s="155">
        <v>0</v>
      </c>
      <c r="J43" s="155">
        <v>0</v>
      </c>
      <c r="K43" s="155">
        <v>197.5</v>
      </c>
      <c r="L43" s="155">
        <v>0</v>
      </c>
      <c r="M43" s="155">
        <v>0</v>
      </c>
      <c r="N43" s="155">
        <v>0</v>
      </c>
      <c r="O43" s="155">
        <v>0</v>
      </c>
      <c r="P43" s="155">
        <v>15</v>
      </c>
      <c r="Q43" s="155">
        <v>0</v>
      </c>
      <c r="R43" s="155">
        <v>0</v>
      </c>
      <c r="S43" s="155">
        <v>0</v>
      </c>
      <c r="T43" s="155">
        <v>0</v>
      </c>
      <c r="U43" s="159" t="s">
        <v>320</v>
      </c>
      <c r="V43" s="150"/>
      <c r="W43" s="151" t="s">
        <v>33</v>
      </c>
      <c r="X43" s="150">
        <v>13</v>
      </c>
      <c r="Y43" s="150">
        <v>1</v>
      </c>
      <c r="Z43" s="151" t="s">
        <v>520</v>
      </c>
      <c r="AA43" s="158" t="s">
        <v>293</v>
      </c>
      <c r="AB43" s="158"/>
      <c r="AC43" s="126">
        <f t="shared" si="4"/>
        <v>-182.5</v>
      </c>
      <c r="AD43" s="19"/>
      <c r="AE43" s="2"/>
      <c r="AJ43" s="216"/>
      <c r="AN43" s="116" t="s">
        <v>305</v>
      </c>
      <c r="AQ43" s="192" t="e">
        <f t="shared" si="1"/>
        <v>#DIV/0!</v>
      </c>
      <c r="AV43" s="192">
        <f t="shared" si="2"/>
        <v>7.59493670886076</v>
      </c>
      <c r="AX43" s="193">
        <f t="shared" si="3"/>
        <v>7.6923076923076925</v>
      </c>
    </row>
    <row r="44" spans="1:50" ht="287.25" customHeight="1" x14ac:dyDescent="0.65">
      <c r="A44" s="161" t="s">
        <v>64</v>
      </c>
      <c r="B44" s="159" t="s">
        <v>266</v>
      </c>
      <c r="C44" s="159" t="s">
        <v>29</v>
      </c>
      <c r="D44" s="155">
        <v>325321.59999999998</v>
      </c>
      <c r="E44" s="155">
        <v>0</v>
      </c>
      <c r="F44" s="155">
        <v>0</v>
      </c>
      <c r="G44" s="155">
        <v>0</v>
      </c>
      <c r="H44" s="155">
        <v>0</v>
      </c>
      <c r="I44" s="155">
        <v>325321.59999999998</v>
      </c>
      <c r="J44" s="155">
        <v>0</v>
      </c>
      <c r="K44" s="155">
        <v>0</v>
      </c>
      <c r="L44" s="155">
        <v>0</v>
      </c>
      <c r="M44" s="155">
        <v>0</v>
      </c>
      <c r="N44" s="155">
        <v>315944.40000000002</v>
      </c>
      <c r="O44" s="155">
        <v>0</v>
      </c>
      <c r="P44" s="155">
        <v>0</v>
      </c>
      <c r="Q44" s="155">
        <v>0</v>
      </c>
      <c r="R44" s="155">
        <v>0</v>
      </c>
      <c r="S44" s="155">
        <v>0</v>
      </c>
      <c r="T44" s="155">
        <v>526.6</v>
      </c>
      <c r="U44" s="156" t="s">
        <v>485</v>
      </c>
      <c r="V44" s="150"/>
      <c r="W44" s="151" t="s">
        <v>33</v>
      </c>
      <c r="X44" s="157">
        <v>21997</v>
      </c>
      <c r="Y44" s="157">
        <v>21548</v>
      </c>
      <c r="Z44" s="151" t="s">
        <v>520</v>
      </c>
      <c r="AA44" s="158" t="s">
        <v>293</v>
      </c>
      <c r="AB44" s="158">
        <f>N44-I44</f>
        <v>-9377.1999999999534</v>
      </c>
      <c r="AC44" s="126">
        <f>N44-I44</f>
        <v>-9377.1999999999534</v>
      </c>
      <c r="AD44" s="19"/>
      <c r="AE44" s="2"/>
      <c r="AJ44" s="136">
        <f>N44-I44</f>
        <v>-9377.1999999999534</v>
      </c>
      <c r="AN44" s="116" t="s">
        <v>305</v>
      </c>
      <c r="AQ44" s="192">
        <f t="shared" si="1"/>
        <v>97.117559977572981</v>
      </c>
      <c r="AV44" s="192" t="e">
        <f t="shared" si="2"/>
        <v>#DIV/0!</v>
      </c>
      <c r="AX44" s="193">
        <f t="shared" si="3"/>
        <v>97.958812565349817</v>
      </c>
    </row>
    <row r="45" spans="1:50" ht="296.25" customHeight="1" x14ac:dyDescent="0.65">
      <c r="A45" s="97" t="s">
        <v>65</v>
      </c>
      <c r="B45" s="159" t="s">
        <v>270</v>
      </c>
      <c r="C45" s="159" t="s">
        <v>29</v>
      </c>
      <c r="D45" s="155">
        <v>0</v>
      </c>
      <c r="E45" s="155">
        <v>89540.5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55">
        <v>89540.5</v>
      </c>
      <c r="L45" s="155">
        <v>0</v>
      </c>
      <c r="M45" s="155">
        <v>0</v>
      </c>
      <c r="N45" s="155">
        <v>0</v>
      </c>
      <c r="O45" s="155">
        <v>0</v>
      </c>
      <c r="P45" s="155">
        <v>72434.3</v>
      </c>
      <c r="Q45" s="155">
        <v>0</v>
      </c>
      <c r="R45" s="155">
        <v>0</v>
      </c>
      <c r="S45" s="155">
        <v>0</v>
      </c>
      <c r="T45" s="155">
        <v>953.9</v>
      </c>
      <c r="U45" s="99" t="s">
        <v>486</v>
      </c>
      <c r="V45" s="96"/>
      <c r="W45" s="96" t="s">
        <v>33</v>
      </c>
      <c r="X45" s="150">
        <v>148</v>
      </c>
      <c r="Y45" s="150">
        <v>172</v>
      </c>
      <c r="Z45" s="151" t="s">
        <v>34</v>
      </c>
      <c r="AA45" s="158"/>
      <c r="AB45" s="158">
        <f>P45-K45</f>
        <v>-17106.199999999997</v>
      </c>
      <c r="AC45" s="126">
        <f t="shared" si="4"/>
        <v>-17106.199999999997</v>
      </c>
      <c r="AD45" s="19"/>
      <c r="AE45" s="2"/>
      <c r="AJ45" s="135">
        <f>P45-K45</f>
        <v>-17106.199999999997</v>
      </c>
      <c r="AN45" s="116" t="s">
        <v>305</v>
      </c>
      <c r="AQ45" s="192" t="e">
        <f t="shared" si="1"/>
        <v>#DIV/0!</v>
      </c>
      <c r="AV45" s="192">
        <f t="shared" si="2"/>
        <v>80.895572394614732</v>
      </c>
      <c r="AX45" s="193">
        <f t="shared" si="3"/>
        <v>116.21621621621621</v>
      </c>
    </row>
    <row r="46" spans="1:50" ht="408.75" customHeight="1" x14ac:dyDescent="0.65">
      <c r="A46" s="226" t="s">
        <v>66</v>
      </c>
      <c r="B46" s="201" t="s">
        <v>262</v>
      </c>
      <c r="C46" s="201" t="s">
        <v>29</v>
      </c>
      <c r="D46" s="216">
        <v>0</v>
      </c>
      <c r="E46" s="229">
        <v>1830.6</v>
      </c>
      <c r="F46" s="216">
        <v>0</v>
      </c>
      <c r="G46" s="216">
        <v>0</v>
      </c>
      <c r="H46" s="216">
        <v>0</v>
      </c>
      <c r="I46" s="216">
        <v>0</v>
      </c>
      <c r="J46" s="216">
        <v>0</v>
      </c>
      <c r="K46" s="216">
        <v>1830.6</v>
      </c>
      <c r="L46" s="216">
        <v>0</v>
      </c>
      <c r="M46" s="216">
        <v>0</v>
      </c>
      <c r="N46" s="216">
        <v>0</v>
      </c>
      <c r="O46" s="216">
        <v>0</v>
      </c>
      <c r="P46" s="216">
        <v>224.4</v>
      </c>
      <c r="Q46" s="216">
        <v>0</v>
      </c>
      <c r="R46" s="216">
        <v>0</v>
      </c>
      <c r="S46" s="216">
        <v>0</v>
      </c>
      <c r="T46" s="216">
        <v>0</v>
      </c>
      <c r="U46" s="217" t="s">
        <v>406</v>
      </c>
      <c r="V46" s="203"/>
      <c r="W46" s="202" t="s">
        <v>33</v>
      </c>
      <c r="X46" s="202">
        <v>10</v>
      </c>
      <c r="Y46" s="202">
        <v>3</v>
      </c>
      <c r="Z46" s="203" t="s">
        <v>520</v>
      </c>
      <c r="AA46" s="201" t="s">
        <v>293</v>
      </c>
      <c r="AB46" s="158">
        <f>P46-K46</f>
        <v>-1606.1999999999998</v>
      </c>
      <c r="AC46" s="126">
        <f t="shared" si="4"/>
        <v>-1606.1999999999998</v>
      </c>
      <c r="AD46" s="19"/>
      <c r="AE46" s="2"/>
      <c r="AJ46" s="135">
        <f>P46-K46</f>
        <v>-1606.1999999999998</v>
      </c>
      <c r="AN46" s="116" t="s">
        <v>306</v>
      </c>
      <c r="AQ46" s="192" t="e">
        <f t="shared" si="1"/>
        <v>#DIV/0!</v>
      </c>
      <c r="AV46" s="192">
        <f t="shared" si="2"/>
        <v>12.258275975090136</v>
      </c>
      <c r="AX46" s="193">
        <f t="shared" si="3"/>
        <v>30</v>
      </c>
    </row>
    <row r="47" spans="1:50" ht="54" customHeight="1" x14ac:dyDescent="0.65">
      <c r="A47" s="226"/>
      <c r="B47" s="201"/>
      <c r="C47" s="201"/>
      <c r="D47" s="216"/>
      <c r="E47" s="229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7"/>
      <c r="V47" s="203"/>
      <c r="W47" s="202"/>
      <c r="X47" s="202"/>
      <c r="Y47" s="202"/>
      <c r="Z47" s="203"/>
      <c r="AA47" s="201"/>
      <c r="AB47" s="159"/>
      <c r="AC47" s="126">
        <f t="shared" si="4"/>
        <v>0</v>
      </c>
      <c r="AD47" s="19"/>
      <c r="AE47" s="2"/>
      <c r="AJ47" s="135"/>
      <c r="AQ47" s="192" t="e">
        <f t="shared" si="1"/>
        <v>#DIV/0!</v>
      </c>
      <c r="AV47" s="192" t="e">
        <f t="shared" si="2"/>
        <v>#DIV/0!</v>
      </c>
      <c r="AX47" s="193" t="e">
        <f t="shared" si="3"/>
        <v>#DIV/0!</v>
      </c>
    </row>
    <row r="48" spans="1:50" ht="408.75" customHeight="1" x14ac:dyDescent="0.65">
      <c r="A48" s="226" t="s">
        <v>67</v>
      </c>
      <c r="B48" s="201" t="s">
        <v>434</v>
      </c>
      <c r="C48" s="201" t="s">
        <v>29</v>
      </c>
      <c r="D48" s="216">
        <v>0</v>
      </c>
      <c r="E48" s="229">
        <v>17539.2</v>
      </c>
      <c r="F48" s="216">
        <v>0</v>
      </c>
      <c r="G48" s="216">
        <v>0</v>
      </c>
      <c r="H48" s="216">
        <v>0</v>
      </c>
      <c r="I48" s="216">
        <v>0</v>
      </c>
      <c r="J48" s="216">
        <v>0</v>
      </c>
      <c r="K48" s="216">
        <v>17539.2</v>
      </c>
      <c r="L48" s="216">
        <v>0</v>
      </c>
      <c r="M48" s="216">
        <v>0</v>
      </c>
      <c r="N48" s="216">
        <v>0</v>
      </c>
      <c r="O48" s="216">
        <v>0</v>
      </c>
      <c r="P48" s="216">
        <v>13021.3</v>
      </c>
      <c r="Q48" s="216">
        <v>0</v>
      </c>
      <c r="R48" s="216">
        <v>0</v>
      </c>
      <c r="S48" s="216">
        <v>0</v>
      </c>
      <c r="T48" s="216">
        <v>181.3</v>
      </c>
      <c r="U48" s="217" t="s">
        <v>487</v>
      </c>
      <c r="V48" s="203"/>
      <c r="W48" s="202" t="s">
        <v>33</v>
      </c>
      <c r="X48" s="202">
        <v>48</v>
      </c>
      <c r="Y48" s="202">
        <v>47</v>
      </c>
      <c r="Z48" s="203" t="s">
        <v>520</v>
      </c>
      <c r="AA48" s="197" t="s">
        <v>293</v>
      </c>
      <c r="AB48" s="152">
        <f>P48-K48</f>
        <v>-4517.9000000000015</v>
      </c>
      <c r="AC48" s="126">
        <f t="shared" si="4"/>
        <v>-4517.9000000000015</v>
      </c>
      <c r="AD48" s="19"/>
      <c r="AE48" s="2"/>
      <c r="AJ48" s="135">
        <f>P48-K48</f>
        <v>-4517.9000000000015</v>
      </c>
      <c r="AN48" s="116" t="s">
        <v>305</v>
      </c>
      <c r="AQ48" s="192" t="e">
        <f t="shared" si="1"/>
        <v>#DIV/0!</v>
      </c>
      <c r="AV48" s="192">
        <f t="shared" si="2"/>
        <v>74.241128443714643</v>
      </c>
      <c r="AX48" s="193">
        <f t="shared" si="3"/>
        <v>97.916666666666657</v>
      </c>
    </row>
    <row r="49" spans="1:50" ht="86.25" customHeight="1" x14ac:dyDescent="0.65">
      <c r="A49" s="226"/>
      <c r="B49" s="201"/>
      <c r="C49" s="201"/>
      <c r="D49" s="216"/>
      <c r="E49" s="229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7"/>
      <c r="V49" s="203"/>
      <c r="W49" s="202"/>
      <c r="X49" s="202"/>
      <c r="Y49" s="202"/>
      <c r="Z49" s="203"/>
      <c r="AA49" s="198"/>
      <c r="AB49" s="154"/>
      <c r="AC49" s="126"/>
      <c r="AD49" s="19"/>
      <c r="AE49" s="2"/>
      <c r="AJ49" s="135"/>
      <c r="AQ49" s="192" t="e">
        <f t="shared" si="1"/>
        <v>#DIV/0!</v>
      </c>
      <c r="AV49" s="192" t="e">
        <f t="shared" si="2"/>
        <v>#DIV/0!</v>
      </c>
      <c r="AX49" s="193" t="e">
        <f t="shared" si="3"/>
        <v>#DIV/0!</v>
      </c>
    </row>
    <row r="50" spans="1:50" ht="409.5" customHeight="1" x14ac:dyDescent="0.65">
      <c r="A50" s="97" t="s">
        <v>68</v>
      </c>
      <c r="B50" s="159" t="s">
        <v>378</v>
      </c>
      <c r="C50" s="159" t="s">
        <v>29</v>
      </c>
      <c r="D50" s="155">
        <v>0</v>
      </c>
      <c r="E50" s="162">
        <v>139.1</v>
      </c>
      <c r="F50" s="155">
        <v>0</v>
      </c>
      <c r="G50" s="155">
        <v>0</v>
      </c>
      <c r="H50" s="155">
        <v>0</v>
      </c>
      <c r="I50" s="155">
        <v>0</v>
      </c>
      <c r="J50" s="155">
        <v>0</v>
      </c>
      <c r="K50" s="155">
        <v>139.1</v>
      </c>
      <c r="L50" s="155">
        <v>0</v>
      </c>
      <c r="M50" s="155">
        <v>0</v>
      </c>
      <c r="N50" s="155">
        <v>0</v>
      </c>
      <c r="O50" s="155">
        <v>0</v>
      </c>
      <c r="P50" s="155">
        <v>137.80000000000001</v>
      </c>
      <c r="Q50" s="155">
        <v>0</v>
      </c>
      <c r="R50" s="155">
        <v>0</v>
      </c>
      <c r="S50" s="155">
        <v>0</v>
      </c>
      <c r="T50" s="155">
        <v>2</v>
      </c>
      <c r="U50" s="99" t="s">
        <v>407</v>
      </c>
      <c r="V50" s="18"/>
      <c r="W50" s="96" t="s">
        <v>33</v>
      </c>
      <c r="X50" s="150">
        <v>14</v>
      </c>
      <c r="Y50" s="150">
        <v>12</v>
      </c>
      <c r="Z50" s="151" t="s">
        <v>520</v>
      </c>
      <c r="AA50" s="158" t="s">
        <v>293</v>
      </c>
      <c r="AB50" s="158">
        <f>P50-K50</f>
        <v>-1.2999999999999829</v>
      </c>
      <c r="AC50" s="126">
        <f t="shared" si="4"/>
        <v>-1.2999999999999829</v>
      </c>
      <c r="AD50" s="19"/>
      <c r="AE50" s="2"/>
      <c r="AJ50" s="135">
        <f>P50-K50</f>
        <v>-1.2999999999999829</v>
      </c>
      <c r="AN50" s="116" t="s">
        <v>306</v>
      </c>
      <c r="AQ50" s="192" t="e">
        <f t="shared" si="1"/>
        <v>#DIV/0!</v>
      </c>
      <c r="AV50" s="192">
        <f t="shared" si="2"/>
        <v>99.065420560747668</v>
      </c>
      <c r="AX50" s="193">
        <f t="shared" si="3"/>
        <v>85.714285714285708</v>
      </c>
    </row>
    <row r="51" spans="1:50" ht="291" customHeight="1" x14ac:dyDescent="0.65">
      <c r="A51" s="226" t="s">
        <v>69</v>
      </c>
      <c r="B51" s="201" t="s">
        <v>435</v>
      </c>
      <c r="C51" s="201" t="s">
        <v>29</v>
      </c>
      <c r="D51" s="216">
        <v>0</v>
      </c>
      <c r="E51" s="229">
        <v>46978.5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46978.5</v>
      </c>
      <c r="L51" s="216">
        <v>0</v>
      </c>
      <c r="M51" s="216">
        <v>0</v>
      </c>
      <c r="N51" s="216">
        <v>0</v>
      </c>
      <c r="O51" s="216">
        <v>0</v>
      </c>
      <c r="P51" s="216">
        <v>34942.300000000003</v>
      </c>
      <c r="Q51" s="216">
        <v>0</v>
      </c>
      <c r="R51" s="216">
        <v>0</v>
      </c>
      <c r="S51" s="216">
        <v>0</v>
      </c>
      <c r="T51" s="216">
        <v>511</v>
      </c>
      <c r="U51" s="217" t="s">
        <v>488</v>
      </c>
      <c r="V51" s="203"/>
      <c r="W51" s="203" t="s">
        <v>33</v>
      </c>
      <c r="X51" s="218">
        <v>1471</v>
      </c>
      <c r="Y51" s="218">
        <v>1427</v>
      </c>
      <c r="Z51" s="203" t="s">
        <v>520</v>
      </c>
      <c r="AA51" s="201" t="s">
        <v>293</v>
      </c>
      <c r="AB51" s="158">
        <f>P51-K51</f>
        <v>-12036.199999999997</v>
      </c>
      <c r="AC51" s="126">
        <f t="shared" si="4"/>
        <v>-12036.199999999997</v>
      </c>
      <c r="AD51" s="19"/>
      <c r="AE51" s="2"/>
      <c r="AJ51" s="216">
        <f>P51-K51</f>
        <v>-12036.199999999997</v>
      </c>
      <c r="AN51" s="116" t="s">
        <v>306</v>
      </c>
      <c r="AQ51" s="192" t="e">
        <f t="shared" si="1"/>
        <v>#DIV/0!</v>
      </c>
      <c r="AV51" s="192">
        <f t="shared" si="2"/>
        <v>74.37934374235023</v>
      </c>
      <c r="AX51" s="193">
        <f t="shared" si="3"/>
        <v>97.008837525492865</v>
      </c>
    </row>
    <row r="52" spans="1:50" ht="39.75" hidden="1" customHeight="1" x14ac:dyDescent="0.65">
      <c r="A52" s="226"/>
      <c r="B52" s="201"/>
      <c r="C52" s="201"/>
      <c r="D52" s="216"/>
      <c r="E52" s="229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7"/>
      <c r="V52" s="203"/>
      <c r="W52" s="203"/>
      <c r="X52" s="218"/>
      <c r="Y52" s="218"/>
      <c r="Z52" s="203"/>
      <c r="AA52" s="201"/>
      <c r="AB52" s="159"/>
      <c r="AC52" s="126">
        <f t="shared" si="4"/>
        <v>0</v>
      </c>
      <c r="AD52" s="19"/>
      <c r="AE52" s="2"/>
      <c r="AJ52" s="216"/>
      <c r="AQ52" s="192" t="e">
        <f t="shared" si="1"/>
        <v>#DIV/0!</v>
      </c>
      <c r="AV52" s="192" t="e">
        <f t="shared" si="2"/>
        <v>#DIV/0!</v>
      </c>
      <c r="AX52" s="193" t="e">
        <f t="shared" si="3"/>
        <v>#DIV/0!</v>
      </c>
    </row>
    <row r="53" spans="1:50" ht="404.25" customHeight="1" x14ac:dyDescent="0.65">
      <c r="A53" s="203" t="s">
        <v>70</v>
      </c>
      <c r="B53" s="201" t="s">
        <v>379</v>
      </c>
      <c r="C53" s="201" t="s">
        <v>29</v>
      </c>
      <c r="D53" s="216">
        <v>0</v>
      </c>
      <c r="E53" s="229">
        <v>1633764.7</v>
      </c>
      <c r="F53" s="216">
        <v>0</v>
      </c>
      <c r="G53" s="216">
        <v>0</v>
      </c>
      <c r="H53" s="216">
        <v>0</v>
      </c>
      <c r="I53" s="216">
        <v>0</v>
      </c>
      <c r="J53" s="216">
        <v>0</v>
      </c>
      <c r="K53" s="216">
        <v>1633764.7</v>
      </c>
      <c r="L53" s="216">
        <v>0</v>
      </c>
      <c r="M53" s="216">
        <v>0</v>
      </c>
      <c r="N53" s="216">
        <v>0</v>
      </c>
      <c r="O53" s="216">
        <v>0</v>
      </c>
      <c r="P53" s="216">
        <v>930470.3</v>
      </c>
      <c r="Q53" s="216">
        <v>0</v>
      </c>
      <c r="R53" s="216">
        <v>0</v>
      </c>
      <c r="S53" s="216">
        <v>0</v>
      </c>
      <c r="T53" s="216">
        <v>0</v>
      </c>
      <c r="U53" s="201" t="s">
        <v>408</v>
      </c>
      <c r="V53" s="202"/>
      <c r="W53" s="203" t="s">
        <v>71</v>
      </c>
      <c r="X53" s="236">
        <v>414.7</v>
      </c>
      <c r="Y53" s="230">
        <v>382.5</v>
      </c>
      <c r="Z53" s="203" t="s">
        <v>520</v>
      </c>
      <c r="AA53" s="219" t="s">
        <v>293</v>
      </c>
      <c r="AB53" s="158">
        <f>P53-K53</f>
        <v>-703294.39999999991</v>
      </c>
      <c r="AC53" s="126">
        <f t="shared" si="4"/>
        <v>-703294.39999999991</v>
      </c>
      <c r="AD53" s="19"/>
      <c r="AE53" s="2"/>
      <c r="AJ53" s="216">
        <f>P53-K53</f>
        <v>-703294.39999999991</v>
      </c>
      <c r="AN53" s="116" t="s">
        <v>306</v>
      </c>
      <c r="AQ53" s="192" t="e">
        <f t="shared" si="1"/>
        <v>#DIV/0!</v>
      </c>
      <c r="AV53" s="192">
        <f t="shared" si="2"/>
        <v>56.952528108851908</v>
      </c>
      <c r="AX53" s="193">
        <f t="shared" si="3"/>
        <v>92.235350856040512</v>
      </c>
    </row>
    <row r="54" spans="1:50" ht="404.25" customHeight="1" x14ac:dyDescent="0.65">
      <c r="A54" s="203"/>
      <c r="B54" s="201"/>
      <c r="C54" s="201"/>
      <c r="D54" s="216"/>
      <c r="E54" s="229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01"/>
      <c r="V54" s="202"/>
      <c r="W54" s="203"/>
      <c r="X54" s="236"/>
      <c r="Y54" s="230"/>
      <c r="Z54" s="203"/>
      <c r="AA54" s="220"/>
      <c r="AB54" s="158"/>
      <c r="AC54" s="126"/>
      <c r="AD54" s="19"/>
      <c r="AE54" s="2"/>
      <c r="AJ54" s="216"/>
      <c r="AQ54" s="192" t="e">
        <f t="shared" si="1"/>
        <v>#DIV/0!</v>
      </c>
      <c r="AV54" s="192" t="e">
        <f t="shared" si="2"/>
        <v>#DIV/0!</v>
      </c>
      <c r="AX54" s="193" t="e">
        <f t="shared" si="3"/>
        <v>#DIV/0!</v>
      </c>
    </row>
    <row r="55" spans="1:50" ht="404.25" customHeight="1" x14ac:dyDescent="0.65">
      <c r="A55" s="203"/>
      <c r="B55" s="201"/>
      <c r="C55" s="201"/>
      <c r="D55" s="216"/>
      <c r="E55" s="229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01"/>
      <c r="V55" s="202"/>
      <c r="W55" s="203"/>
      <c r="X55" s="236"/>
      <c r="Y55" s="230"/>
      <c r="Z55" s="203"/>
      <c r="AA55" s="220"/>
      <c r="AB55" s="158"/>
      <c r="AC55" s="126"/>
      <c r="AD55" s="19"/>
      <c r="AE55" s="2"/>
      <c r="AJ55" s="216"/>
      <c r="AQ55" s="192" t="e">
        <f t="shared" si="1"/>
        <v>#DIV/0!</v>
      </c>
      <c r="AV55" s="192" t="e">
        <f t="shared" si="2"/>
        <v>#DIV/0!</v>
      </c>
      <c r="AX55" s="193" t="e">
        <f t="shared" si="3"/>
        <v>#DIV/0!</v>
      </c>
    </row>
    <row r="56" spans="1:50" ht="267" customHeight="1" x14ac:dyDescent="0.65">
      <c r="A56" s="203"/>
      <c r="B56" s="201"/>
      <c r="C56" s="201"/>
      <c r="D56" s="216"/>
      <c r="E56" s="229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01"/>
      <c r="V56" s="202"/>
      <c r="W56" s="203"/>
      <c r="X56" s="236"/>
      <c r="Y56" s="230"/>
      <c r="Z56" s="203"/>
      <c r="AA56" s="221"/>
      <c r="AB56" s="158"/>
      <c r="AC56" s="126"/>
      <c r="AD56" s="19"/>
      <c r="AE56" s="2"/>
      <c r="AJ56" s="216"/>
      <c r="AQ56" s="192" t="e">
        <f t="shared" si="1"/>
        <v>#DIV/0!</v>
      </c>
      <c r="AV56" s="192" t="e">
        <f t="shared" si="2"/>
        <v>#DIV/0!</v>
      </c>
      <c r="AX56" s="193" t="e">
        <f t="shared" si="3"/>
        <v>#DIV/0!</v>
      </c>
    </row>
    <row r="57" spans="1:50" ht="409.6" customHeight="1" x14ac:dyDescent="0.65">
      <c r="A57" s="203" t="s">
        <v>72</v>
      </c>
      <c r="B57" s="201" t="s">
        <v>380</v>
      </c>
      <c r="C57" s="201" t="s">
        <v>29</v>
      </c>
      <c r="D57" s="216">
        <v>0</v>
      </c>
      <c r="E57" s="229">
        <v>14485.6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16">
        <v>14485.6</v>
      </c>
      <c r="L57" s="216">
        <v>0</v>
      </c>
      <c r="M57" s="216">
        <v>0</v>
      </c>
      <c r="N57" s="216">
        <v>0</v>
      </c>
      <c r="O57" s="216">
        <v>0</v>
      </c>
      <c r="P57" s="216">
        <v>3105.5</v>
      </c>
      <c r="Q57" s="216">
        <v>0</v>
      </c>
      <c r="R57" s="216">
        <v>0</v>
      </c>
      <c r="S57" s="216">
        <v>0</v>
      </c>
      <c r="T57" s="216">
        <v>0</v>
      </c>
      <c r="U57" s="201" t="s">
        <v>409</v>
      </c>
      <c r="V57" s="202"/>
      <c r="W57" s="203" t="s">
        <v>73</v>
      </c>
      <c r="X57" s="231">
        <v>21230</v>
      </c>
      <c r="Y57" s="230">
        <v>2814.4</v>
      </c>
      <c r="Z57" s="203" t="s">
        <v>520</v>
      </c>
      <c r="AA57" s="206" t="s">
        <v>293</v>
      </c>
      <c r="AB57" s="158">
        <f>P57-K57</f>
        <v>-11380.1</v>
      </c>
      <c r="AC57" s="126">
        <f t="shared" si="4"/>
        <v>-11380.1</v>
      </c>
      <c r="AD57" s="19"/>
      <c r="AE57" s="2"/>
      <c r="AJ57" s="216">
        <f>P57-K57</f>
        <v>-11380.1</v>
      </c>
      <c r="AN57" s="116" t="s">
        <v>306</v>
      </c>
      <c r="AQ57" s="192" t="e">
        <f t="shared" si="1"/>
        <v>#DIV/0!</v>
      </c>
      <c r="AV57" s="192">
        <f t="shared" si="2"/>
        <v>21.438532059424531</v>
      </c>
      <c r="AX57" s="193">
        <f t="shared" si="3"/>
        <v>13.256712199717382</v>
      </c>
    </row>
    <row r="58" spans="1:50" ht="59.25" customHeight="1" x14ac:dyDescent="0.65">
      <c r="A58" s="203"/>
      <c r="B58" s="201"/>
      <c r="C58" s="201"/>
      <c r="D58" s="216"/>
      <c r="E58" s="229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01"/>
      <c r="V58" s="202"/>
      <c r="W58" s="203"/>
      <c r="X58" s="231"/>
      <c r="Y58" s="230"/>
      <c r="Z58" s="203"/>
      <c r="AA58" s="207"/>
      <c r="AB58" s="158"/>
      <c r="AC58" s="126"/>
      <c r="AD58" s="19"/>
      <c r="AE58" s="2"/>
      <c r="AJ58" s="216"/>
      <c r="AQ58" s="192" t="e">
        <f t="shared" si="1"/>
        <v>#DIV/0!</v>
      </c>
      <c r="AV58" s="192" t="e">
        <f t="shared" si="2"/>
        <v>#DIV/0!</v>
      </c>
      <c r="AX58" s="193" t="e">
        <f t="shared" si="3"/>
        <v>#DIV/0!</v>
      </c>
    </row>
    <row r="59" spans="1:50" ht="285" customHeight="1" x14ac:dyDescent="0.65">
      <c r="A59" s="151" t="s">
        <v>389</v>
      </c>
      <c r="B59" s="159" t="s">
        <v>388</v>
      </c>
      <c r="C59" s="159" t="s">
        <v>29</v>
      </c>
      <c r="D59" s="155">
        <v>0</v>
      </c>
      <c r="E59" s="162">
        <v>783636.4</v>
      </c>
      <c r="F59" s="162">
        <v>0</v>
      </c>
      <c r="G59" s="155">
        <v>0</v>
      </c>
      <c r="H59" s="155">
        <v>0</v>
      </c>
      <c r="I59" s="155">
        <v>0</v>
      </c>
      <c r="J59" s="155">
        <v>0</v>
      </c>
      <c r="K59" s="155">
        <v>783636.4</v>
      </c>
      <c r="L59" s="155">
        <v>0</v>
      </c>
      <c r="M59" s="155">
        <v>0</v>
      </c>
      <c r="N59" s="155">
        <v>0</v>
      </c>
      <c r="O59" s="155">
        <v>0</v>
      </c>
      <c r="P59" s="155">
        <v>540622.69999999995</v>
      </c>
      <c r="Q59" s="155">
        <v>0</v>
      </c>
      <c r="R59" s="155">
        <v>0</v>
      </c>
      <c r="S59" s="155">
        <v>0</v>
      </c>
      <c r="T59" s="155">
        <v>7512.8</v>
      </c>
      <c r="U59" s="156" t="s">
        <v>489</v>
      </c>
      <c r="V59" s="150"/>
      <c r="W59" s="151" t="s">
        <v>33</v>
      </c>
      <c r="X59" s="157">
        <v>77323</v>
      </c>
      <c r="Y59" s="157">
        <v>72029</v>
      </c>
      <c r="Z59" s="151" t="s">
        <v>520</v>
      </c>
      <c r="AA59" s="158" t="s">
        <v>293</v>
      </c>
      <c r="AB59" s="158">
        <f>P59-K59</f>
        <v>-243013.70000000007</v>
      </c>
      <c r="AC59" s="126">
        <f t="shared" si="4"/>
        <v>-243013.70000000007</v>
      </c>
      <c r="AD59" s="19"/>
      <c r="AE59" s="2"/>
      <c r="AJ59" s="135">
        <f>P59-K59</f>
        <v>-243013.70000000007</v>
      </c>
      <c r="AN59" s="116" t="s">
        <v>305</v>
      </c>
      <c r="AQ59" s="192" t="e">
        <f t="shared" si="1"/>
        <v>#DIV/0!</v>
      </c>
      <c r="AV59" s="192">
        <f t="shared" si="2"/>
        <v>68.988972436706604</v>
      </c>
      <c r="AX59" s="193">
        <f t="shared" si="3"/>
        <v>93.153395496812081</v>
      </c>
    </row>
    <row r="60" spans="1:50" ht="291" customHeight="1" x14ac:dyDescent="0.65">
      <c r="A60" s="96" t="s">
        <v>74</v>
      </c>
      <c r="B60" s="159" t="s">
        <v>75</v>
      </c>
      <c r="C60" s="159" t="s">
        <v>29</v>
      </c>
      <c r="D60" s="155">
        <v>0</v>
      </c>
      <c r="E60" s="162">
        <v>1296.5</v>
      </c>
      <c r="F60" s="162">
        <v>0</v>
      </c>
      <c r="G60" s="155">
        <v>0</v>
      </c>
      <c r="H60" s="155">
        <v>0</v>
      </c>
      <c r="I60" s="155">
        <v>0</v>
      </c>
      <c r="J60" s="155">
        <v>0</v>
      </c>
      <c r="K60" s="155">
        <v>1296.5</v>
      </c>
      <c r="L60" s="155">
        <v>0</v>
      </c>
      <c r="M60" s="155">
        <v>0</v>
      </c>
      <c r="N60" s="155">
        <v>0</v>
      </c>
      <c r="O60" s="155">
        <v>0</v>
      </c>
      <c r="P60" s="155">
        <v>137.4</v>
      </c>
      <c r="Q60" s="155">
        <v>0</v>
      </c>
      <c r="R60" s="155">
        <v>0</v>
      </c>
      <c r="S60" s="155">
        <v>0</v>
      </c>
      <c r="T60" s="155">
        <v>1.9</v>
      </c>
      <c r="U60" s="99" t="s">
        <v>490</v>
      </c>
      <c r="V60" s="18"/>
      <c r="W60" s="96" t="s">
        <v>33</v>
      </c>
      <c r="X60" s="157">
        <v>136</v>
      </c>
      <c r="Y60" s="157">
        <v>136</v>
      </c>
      <c r="Z60" s="151" t="s">
        <v>34</v>
      </c>
      <c r="AA60" s="158"/>
      <c r="AB60" s="158">
        <f>P60-K60</f>
        <v>-1159.0999999999999</v>
      </c>
      <c r="AC60" s="126">
        <f t="shared" si="4"/>
        <v>-1159.0999999999999</v>
      </c>
      <c r="AD60" s="19"/>
      <c r="AE60" s="2"/>
      <c r="AJ60" s="135">
        <f>P60-K60</f>
        <v>-1159.0999999999999</v>
      </c>
      <c r="AN60" s="116" t="s">
        <v>305</v>
      </c>
      <c r="AQ60" s="192" t="e">
        <f t="shared" si="1"/>
        <v>#DIV/0!</v>
      </c>
      <c r="AV60" s="192">
        <f t="shared" si="2"/>
        <v>10.597763208638643</v>
      </c>
      <c r="AX60" s="193">
        <f t="shared" si="3"/>
        <v>100</v>
      </c>
    </row>
    <row r="61" spans="1:50" ht="389.25" customHeight="1" x14ac:dyDescent="0.65">
      <c r="A61" s="96" t="s">
        <v>299</v>
      </c>
      <c r="B61" s="159" t="s">
        <v>463</v>
      </c>
      <c r="C61" s="159" t="s">
        <v>29</v>
      </c>
      <c r="D61" s="155">
        <v>11973.3</v>
      </c>
      <c r="E61" s="162">
        <v>18537.2</v>
      </c>
      <c r="F61" s="162">
        <v>0</v>
      </c>
      <c r="G61" s="155">
        <v>0</v>
      </c>
      <c r="H61" s="155">
        <v>0</v>
      </c>
      <c r="I61" s="155">
        <v>11973.3</v>
      </c>
      <c r="J61" s="155">
        <v>0</v>
      </c>
      <c r="K61" s="155">
        <v>18537.2</v>
      </c>
      <c r="L61" s="155">
        <v>0</v>
      </c>
      <c r="M61" s="155">
        <v>0</v>
      </c>
      <c r="N61" s="155">
        <v>11973.3</v>
      </c>
      <c r="O61" s="155">
        <v>0</v>
      </c>
      <c r="P61" s="155">
        <v>0</v>
      </c>
      <c r="Q61" s="155">
        <v>0</v>
      </c>
      <c r="R61" s="155">
        <v>0</v>
      </c>
      <c r="S61" s="155">
        <v>0</v>
      </c>
      <c r="T61" s="155">
        <v>0</v>
      </c>
      <c r="U61" s="156" t="s">
        <v>410</v>
      </c>
      <c r="V61" s="18"/>
      <c r="W61" s="96" t="s">
        <v>33</v>
      </c>
      <c r="X61" s="157">
        <v>18</v>
      </c>
      <c r="Y61" s="157">
        <v>7</v>
      </c>
      <c r="Z61" s="151" t="s">
        <v>520</v>
      </c>
      <c r="AA61" s="159" t="s">
        <v>467</v>
      </c>
      <c r="AB61" s="165">
        <f>N61-K61-I61</f>
        <v>-18537.2</v>
      </c>
      <c r="AC61" s="126">
        <f t="shared" si="4"/>
        <v>-18537.2</v>
      </c>
      <c r="AD61" s="19"/>
      <c r="AE61" s="2"/>
      <c r="AJ61" s="135"/>
      <c r="AN61" s="116" t="s">
        <v>307</v>
      </c>
      <c r="AQ61" s="192">
        <f t="shared" si="1"/>
        <v>100</v>
      </c>
      <c r="AV61" s="192">
        <f t="shared" si="2"/>
        <v>0</v>
      </c>
      <c r="AX61" s="193">
        <f>(Y61+Y62+Y63)/(X61+X62+X63)*100</f>
        <v>38.28125</v>
      </c>
    </row>
    <row r="62" spans="1:50" ht="409.5" customHeight="1" x14ac:dyDescent="0.65">
      <c r="A62" s="161" t="s">
        <v>76</v>
      </c>
      <c r="B62" s="159" t="s">
        <v>381</v>
      </c>
      <c r="C62" s="159" t="s">
        <v>29</v>
      </c>
      <c r="D62" s="155">
        <v>56931.7</v>
      </c>
      <c r="E62" s="162">
        <v>0</v>
      </c>
      <c r="F62" s="162">
        <v>0</v>
      </c>
      <c r="G62" s="155">
        <v>0</v>
      </c>
      <c r="H62" s="155">
        <v>0</v>
      </c>
      <c r="I62" s="155">
        <v>56931.7</v>
      </c>
      <c r="J62" s="155">
        <v>0</v>
      </c>
      <c r="K62" s="155">
        <v>0</v>
      </c>
      <c r="L62" s="155">
        <v>0</v>
      </c>
      <c r="M62" s="155">
        <v>0</v>
      </c>
      <c r="N62" s="155">
        <v>56931.7</v>
      </c>
      <c r="O62" s="155">
        <v>0</v>
      </c>
      <c r="P62" s="155">
        <v>0</v>
      </c>
      <c r="Q62" s="155">
        <v>0</v>
      </c>
      <c r="R62" s="155">
        <v>0</v>
      </c>
      <c r="S62" s="155">
        <v>0</v>
      </c>
      <c r="T62" s="155">
        <v>0</v>
      </c>
      <c r="U62" s="156"/>
      <c r="V62" s="150"/>
      <c r="W62" s="151" t="s">
        <v>33</v>
      </c>
      <c r="X62" s="157">
        <v>67</v>
      </c>
      <c r="Y62" s="157">
        <v>9</v>
      </c>
      <c r="Z62" s="151" t="s">
        <v>520</v>
      </c>
      <c r="AA62" s="159" t="s">
        <v>468</v>
      </c>
      <c r="AB62" s="151"/>
      <c r="AC62" s="126">
        <f>N62-I62</f>
        <v>0</v>
      </c>
      <c r="AD62" s="19"/>
      <c r="AE62" s="2"/>
      <c r="AJ62" s="135"/>
      <c r="AN62" s="116" t="s">
        <v>307</v>
      </c>
      <c r="AQ62" s="192">
        <f t="shared" si="1"/>
        <v>100</v>
      </c>
      <c r="AV62" s="192" t="e">
        <f t="shared" si="2"/>
        <v>#DIV/0!</v>
      </c>
      <c r="AX62" s="193">
        <f>18+67+43</f>
        <v>128</v>
      </c>
    </row>
    <row r="63" spans="1:50" ht="361.5" customHeight="1" x14ac:dyDescent="0.65">
      <c r="A63" s="161" t="s">
        <v>77</v>
      </c>
      <c r="B63" s="159" t="s">
        <v>382</v>
      </c>
      <c r="C63" s="100" t="s">
        <v>29</v>
      </c>
      <c r="D63" s="155">
        <v>36757</v>
      </c>
      <c r="E63" s="155">
        <v>0</v>
      </c>
      <c r="F63" s="155">
        <v>0</v>
      </c>
      <c r="G63" s="155">
        <v>0</v>
      </c>
      <c r="H63" s="155">
        <v>0</v>
      </c>
      <c r="I63" s="155">
        <v>36757</v>
      </c>
      <c r="J63" s="155">
        <v>0</v>
      </c>
      <c r="K63" s="155">
        <v>0</v>
      </c>
      <c r="L63" s="155">
        <v>0</v>
      </c>
      <c r="M63" s="155">
        <v>0</v>
      </c>
      <c r="N63" s="155">
        <v>36757</v>
      </c>
      <c r="O63" s="155">
        <v>0</v>
      </c>
      <c r="P63" s="155">
        <v>0</v>
      </c>
      <c r="Q63" s="155">
        <v>0</v>
      </c>
      <c r="R63" s="155">
        <v>0</v>
      </c>
      <c r="S63" s="155">
        <v>0</v>
      </c>
      <c r="T63" s="155">
        <v>0</v>
      </c>
      <c r="U63" s="100"/>
      <c r="V63" s="161"/>
      <c r="W63" s="161" t="s">
        <v>78</v>
      </c>
      <c r="X63" s="161" t="s">
        <v>280</v>
      </c>
      <c r="Y63" s="161" t="s">
        <v>466</v>
      </c>
      <c r="Z63" s="151" t="s">
        <v>520</v>
      </c>
      <c r="AA63" s="158" t="s">
        <v>469</v>
      </c>
      <c r="AB63" s="165"/>
      <c r="AC63" s="126">
        <f>N63-I63</f>
        <v>0</v>
      </c>
      <c r="AD63" s="19"/>
      <c r="AE63" s="2"/>
      <c r="AJ63" s="135"/>
      <c r="AN63" s="116" t="s">
        <v>307</v>
      </c>
      <c r="AQ63" s="192">
        <f t="shared" si="1"/>
        <v>100</v>
      </c>
      <c r="AV63" s="192" t="e">
        <f t="shared" si="2"/>
        <v>#DIV/0!</v>
      </c>
      <c r="AX63" s="193"/>
    </row>
    <row r="64" spans="1:50" ht="331.5" customHeight="1" x14ac:dyDescent="0.65">
      <c r="A64" s="161" t="s">
        <v>277</v>
      </c>
      <c r="B64" s="159" t="s">
        <v>278</v>
      </c>
      <c r="C64" s="100" t="s">
        <v>29</v>
      </c>
      <c r="D64" s="155">
        <v>0</v>
      </c>
      <c r="E64" s="155">
        <v>454967.1</v>
      </c>
      <c r="F64" s="155">
        <v>0</v>
      </c>
      <c r="G64" s="155">
        <v>0</v>
      </c>
      <c r="H64" s="155">
        <v>0</v>
      </c>
      <c r="I64" s="155">
        <v>0</v>
      </c>
      <c r="J64" s="155">
        <v>0</v>
      </c>
      <c r="K64" s="155">
        <v>454967.1</v>
      </c>
      <c r="L64" s="155">
        <v>0</v>
      </c>
      <c r="M64" s="155">
        <v>0</v>
      </c>
      <c r="N64" s="155">
        <v>0</v>
      </c>
      <c r="O64" s="155">
        <v>0</v>
      </c>
      <c r="P64" s="155">
        <v>327736</v>
      </c>
      <c r="Q64" s="155">
        <v>0</v>
      </c>
      <c r="R64" s="155">
        <v>0</v>
      </c>
      <c r="S64" s="155">
        <v>0</v>
      </c>
      <c r="T64" s="155">
        <v>5235</v>
      </c>
      <c r="U64" s="100" t="s">
        <v>491</v>
      </c>
      <c r="V64" s="161"/>
      <c r="W64" s="161" t="s">
        <v>33</v>
      </c>
      <c r="X64" s="161" t="s">
        <v>281</v>
      </c>
      <c r="Y64" s="161" t="s">
        <v>465</v>
      </c>
      <c r="Z64" s="161" t="s">
        <v>520</v>
      </c>
      <c r="AA64" s="100" t="s">
        <v>293</v>
      </c>
      <c r="AB64" s="165">
        <f>327736-454967.1</f>
        <v>-127231.09999999998</v>
      </c>
      <c r="AC64" s="126">
        <f t="shared" si="4"/>
        <v>-127231.09999999998</v>
      </c>
      <c r="AD64" s="19"/>
      <c r="AE64" s="2"/>
      <c r="AJ64" s="135">
        <f>P64-K64</f>
        <v>-127231.09999999998</v>
      </c>
      <c r="AN64" s="116" t="s">
        <v>308</v>
      </c>
      <c r="AQ64" s="192" t="e">
        <f t="shared" si="1"/>
        <v>#DIV/0!</v>
      </c>
      <c r="AV64" s="192">
        <f t="shared" si="2"/>
        <v>72.035098801649625</v>
      </c>
      <c r="AX64" s="193">
        <f t="shared" si="3"/>
        <v>78.683157511822472</v>
      </c>
    </row>
    <row r="65" spans="1:50" ht="110.25" customHeight="1" x14ac:dyDescent="0.65">
      <c r="A65" s="161" t="s">
        <v>79</v>
      </c>
      <c r="B65" s="11" t="s">
        <v>80</v>
      </c>
      <c r="C65" s="11"/>
      <c r="D65" s="108">
        <f>D66+D69+D75+D77+D79+D80+D81+D82+D78+D83</f>
        <v>0</v>
      </c>
      <c r="E65" s="108">
        <f>E66+E69+E75+E77+E79+E80+E81+E82+E78+E83</f>
        <v>11447966.5</v>
      </c>
      <c r="F65" s="108">
        <f>F66+F69+F75+F77+F79+F80+F81+F82+F78+F83</f>
        <v>0</v>
      </c>
      <c r="G65" s="108">
        <f>G66+G69+G75+G77+G79+G80+G81+G82+G78+G83</f>
        <v>0</v>
      </c>
      <c r="H65" s="108">
        <f>H66+H69+H75+H77+H79+H80+H81+H82+H78+H83</f>
        <v>0</v>
      </c>
      <c r="I65" s="108">
        <f>I66+I69+I75+I77+I79+I80+I81+I82+I78</f>
        <v>0</v>
      </c>
      <c r="J65" s="108">
        <f>J66+J69+J75+J77+J79+J80+J81+J82+J78</f>
        <v>0</v>
      </c>
      <c r="K65" s="108">
        <f>K66+K69+K75+K77+K79+K80+K81+K82+K78+K83</f>
        <v>11447966.5</v>
      </c>
      <c r="L65" s="108">
        <f>L66+L69+L75+L77+L79+L80+L81+L82+L78+L83</f>
        <v>0</v>
      </c>
      <c r="M65" s="108">
        <f>M66+M69+M75+M77+M79+M80+M81+M82+M78+M83</f>
        <v>0</v>
      </c>
      <c r="N65" s="108"/>
      <c r="O65" s="108">
        <f t="shared" ref="O65:T65" si="5">O66+O69+O75+O77+O79+O80+O81+O82+O78</f>
        <v>0</v>
      </c>
      <c r="P65" s="108">
        <f t="shared" si="5"/>
        <v>8556862.2000000011</v>
      </c>
      <c r="Q65" s="108">
        <f t="shared" si="5"/>
        <v>0</v>
      </c>
      <c r="R65" s="108">
        <f t="shared" si="5"/>
        <v>0</v>
      </c>
      <c r="S65" s="108">
        <f t="shared" si="5"/>
        <v>0</v>
      </c>
      <c r="T65" s="108">
        <f t="shared" si="5"/>
        <v>1292734.5</v>
      </c>
      <c r="U65" s="10" t="s">
        <v>25</v>
      </c>
      <c r="V65" s="10" t="s">
        <v>25</v>
      </c>
      <c r="W65" s="10" t="s">
        <v>25</v>
      </c>
      <c r="X65" s="10" t="s">
        <v>25</v>
      </c>
      <c r="Y65" s="10"/>
      <c r="Z65" s="10" t="s">
        <v>25</v>
      </c>
      <c r="AA65" s="24"/>
      <c r="AB65" s="24"/>
      <c r="AC65" s="126">
        <f t="shared" si="4"/>
        <v>-2891104.2999999989</v>
      </c>
      <c r="AD65" s="127">
        <f>(N65+P65)/(I65+K65)*100</f>
        <v>74.745695665688757</v>
      </c>
      <c r="AE65" s="2"/>
      <c r="AH65" s="13" t="e">
        <f>N65/I65*100</f>
        <v>#DIV/0!</v>
      </c>
      <c r="AI65" s="13">
        <f>P65/K65*100</f>
        <v>74.745695665688757</v>
      </c>
      <c r="AJ65" s="216"/>
      <c r="AN65" s="117"/>
      <c r="AQ65" s="192" t="e">
        <f t="shared" si="1"/>
        <v>#DIV/0!</v>
      </c>
      <c r="AV65" s="192">
        <f t="shared" si="2"/>
        <v>74.745695665688757</v>
      </c>
      <c r="AX65" s="193" t="e">
        <f t="shared" si="3"/>
        <v>#VALUE!</v>
      </c>
    </row>
    <row r="66" spans="1:50" ht="222" customHeight="1" x14ac:dyDescent="0.65">
      <c r="A66" s="161" t="s">
        <v>81</v>
      </c>
      <c r="B66" s="159" t="s">
        <v>82</v>
      </c>
      <c r="C66" s="159" t="s">
        <v>29</v>
      </c>
      <c r="D66" s="155">
        <v>0</v>
      </c>
      <c r="E66" s="162">
        <f>E67+E68</f>
        <v>21405.599999999999</v>
      </c>
      <c r="F66" s="155">
        <v>0</v>
      </c>
      <c r="G66" s="155">
        <v>0</v>
      </c>
      <c r="H66" s="155">
        <v>0</v>
      </c>
      <c r="I66" s="155">
        <v>0</v>
      </c>
      <c r="J66" s="155">
        <v>0</v>
      </c>
      <c r="K66" s="155">
        <f>K67+K68</f>
        <v>21405.599999999999</v>
      </c>
      <c r="L66" s="155">
        <v>0</v>
      </c>
      <c r="M66" s="155">
        <v>0</v>
      </c>
      <c r="N66" s="155"/>
      <c r="O66" s="155">
        <v>0</v>
      </c>
      <c r="P66" s="155">
        <f>P67+P68</f>
        <v>14438.3</v>
      </c>
      <c r="Q66" s="155">
        <v>0</v>
      </c>
      <c r="R66" s="155">
        <v>0</v>
      </c>
      <c r="S66" s="155"/>
      <c r="T66" s="155">
        <f>T67+T68</f>
        <v>9631.119999999999</v>
      </c>
      <c r="U66" s="156"/>
      <c r="V66" s="150"/>
      <c r="W66" s="150" t="s">
        <v>33</v>
      </c>
      <c r="X66" s="157">
        <v>3680</v>
      </c>
      <c r="Y66" s="157">
        <v>2093</v>
      </c>
      <c r="Z66" s="151" t="s">
        <v>520</v>
      </c>
      <c r="AA66" s="159" t="s">
        <v>294</v>
      </c>
      <c r="AB66" s="159"/>
      <c r="AC66" s="126">
        <f t="shared" si="4"/>
        <v>-6967.2999999999993</v>
      </c>
      <c r="AD66" s="19"/>
      <c r="AE66" s="2"/>
      <c r="AJ66" s="216"/>
      <c r="AQ66" s="192" t="e">
        <f t="shared" si="1"/>
        <v>#DIV/0!</v>
      </c>
      <c r="AV66" s="192">
        <f t="shared" si="2"/>
        <v>67.451040849123601</v>
      </c>
      <c r="AX66" s="193">
        <f t="shared" si="3"/>
        <v>56.875</v>
      </c>
    </row>
    <row r="67" spans="1:50" ht="288" customHeight="1" x14ac:dyDescent="0.65">
      <c r="A67" s="161" t="s">
        <v>27</v>
      </c>
      <c r="B67" s="159" t="s">
        <v>83</v>
      </c>
      <c r="C67" s="159" t="s">
        <v>29</v>
      </c>
      <c r="D67" s="155">
        <v>0</v>
      </c>
      <c r="E67" s="155">
        <v>10163.299999999999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f>9808.3+355</f>
        <v>10163.299999999999</v>
      </c>
      <c r="L67" s="155">
        <v>0</v>
      </c>
      <c r="M67" s="155">
        <v>0</v>
      </c>
      <c r="N67" s="155">
        <v>0</v>
      </c>
      <c r="O67" s="155">
        <v>0</v>
      </c>
      <c r="P67" s="155">
        <v>6247.6</v>
      </c>
      <c r="Q67" s="155">
        <v>0</v>
      </c>
      <c r="R67" s="155">
        <v>0</v>
      </c>
      <c r="S67" s="155">
        <v>0</v>
      </c>
      <c r="T67" s="155">
        <v>5981.7</v>
      </c>
      <c r="U67" s="156" t="s">
        <v>492</v>
      </c>
      <c r="V67" s="150" t="s">
        <v>25</v>
      </c>
      <c r="W67" s="150" t="s">
        <v>25</v>
      </c>
      <c r="X67" s="150" t="s">
        <v>25</v>
      </c>
      <c r="Y67" s="150"/>
      <c r="Z67" s="150" t="s">
        <v>25</v>
      </c>
      <c r="AA67" s="112"/>
      <c r="AB67" s="112">
        <f>P67-K67</f>
        <v>-3915.6999999999989</v>
      </c>
      <c r="AC67" s="126">
        <f t="shared" si="4"/>
        <v>-3915.6999999999989</v>
      </c>
      <c r="AD67" s="19"/>
      <c r="AE67" s="2"/>
      <c r="AJ67" s="135">
        <f>P67-K67</f>
        <v>-3915.6999999999989</v>
      </c>
      <c r="AQ67" s="192" t="e">
        <f t="shared" si="1"/>
        <v>#DIV/0!</v>
      </c>
      <c r="AV67" s="192">
        <f t="shared" si="2"/>
        <v>61.472159633190017</v>
      </c>
      <c r="AX67" s="193" t="e">
        <f t="shared" si="3"/>
        <v>#VALUE!</v>
      </c>
    </row>
    <row r="68" spans="1:50" ht="285" customHeight="1" x14ac:dyDescent="0.65">
      <c r="A68" s="161" t="s">
        <v>84</v>
      </c>
      <c r="B68" s="159" t="s">
        <v>85</v>
      </c>
      <c r="C68" s="159" t="s">
        <v>29</v>
      </c>
      <c r="D68" s="155">
        <v>0</v>
      </c>
      <c r="E68" s="155">
        <v>11242.3</v>
      </c>
      <c r="F68" s="155">
        <v>0</v>
      </c>
      <c r="G68" s="155">
        <v>0</v>
      </c>
      <c r="H68" s="155">
        <v>0</v>
      </c>
      <c r="I68" s="155">
        <v>0</v>
      </c>
      <c r="J68" s="155">
        <v>0</v>
      </c>
      <c r="K68" s="155">
        <v>11242.3</v>
      </c>
      <c r="L68" s="155">
        <v>0</v>
      </c>
      <c r="M68" s="155">
        <v>0</v>
      </c>
      <c r="N68" s="155">
        <v>0</v>
      </c>
      <c r="O68" s="155">
        <v>0</v>
      </c>
      <c r="P68" s="155">
        <v>8190.7</v>
      </c>
      <c r="Q68" s="155">
        <v>0</v>
      </c>
      <c r="R68" s="155"/>
      <c r="S68" s="155">
        <v>0</v>
      </c>
      <c r="T68" s="155">
        <v>3649.42</v>
      </c>
      <c r="U68" s="156" t="s">
        <v>411</v>
      </c>
      <c r="V68" s="150" t="s">
        <v>25</v>
      </c>
      <c r="W68" s="150" t="s">
        <v>25</v>
      </c>
      <c r="X68" s="150" t="s">
        <v>25</v>
      </c>
      <c r="Y68" s="150"/>
      <c r="Z68" s="150" t="s">
        <v>25</v>
      </c>
      <c r="AA68" s="164"/>
      <c r="AB68" s="112">
        <f t="shared" ref="AB68:AB83" si="6">P68-K68</f>
        <v>-3051.5999999999995</v>
      </c>
      <c r="AC68" s="126">
        <f t="shared" si="4"/>
        <v>-3051.5999999999995</v>
      </c>
      <c r="AD68" s="19"/>
      <c r="AE68" s="2"/>
      <c r="AJ68" s="135">
        <f>P68-K68</f>
        <v>-3051.5999999999995</v>
      </c>
      <c r="AL68" s="101">
        <v>12919.7</v>
      </c>
      <c r="AQ68" s="192" t="e">
        <f t="shared" si="1"/>
        <v>#DIV/0!</v>
      </c>
      <c r="AV68" s="192">
        <f t="shared" si="2"/>
        <v>72.856088167012089</v>
      </c>
      <c r="AX68" s="193" t="e">
        <f t="shared" si="3"/>
        <v>#VALUE!</v>
      </c>
    </row>
    <row r="69" spans="1:50" ht="288" customHeight="1" x14ac:dyDescent="0.65">
      <c r="A69" s="161" t="s">
        <v>86</v>
      </c>
      <c r="B69" s="159" t="s">
        <v>87</v>
      </c>
      <c r="C69" s="159" t="s">
        <v>29</v>
      </c>
      <c r="D69" s="155">
        <v>0</v>
      </c>
      <c r="E69" s="155">
        <v>11385238.6</v>
      </c>
      <c r="F69" s="155">
        <v>0</v>
      </c>
      <c r="G69" s="155">
        <v>0</v>
      </c>
      <c r="H69" s="155">
        <v>0</v>
      </c>
      <c r="I69" s="155">
        <v>0</v>
      </c>
      <c r="J69" s="155">
        <v>0</v>
      </c>
      <c r="K69" s="155">
        <f>K70+K71</f>
        <v>11385238.6</v>
      </c>
      <c r="L69" s="155">
        <v>0</v>
      </c>
      <c r="M69" s="155">
        <v>0</v>
      </c>
      <c r="N69" s="155">
        <v>0</v>
      </c>
      <c r="O69" s="155">
        <v>0</v>
      </c>
      <c r="P69" s="155">
        <f>P70+P71</f>
        <v>8518594.5999999996</v>
      </c>
      <c r="Q69" s="155">
        <v>0</v>
      </c>
      <c r="R69" s="155">
        <v>0</v>
      </c>
      <c r="S69" s="155">
        <v>0</v>
      </c>
      <c r="T69" s="155">
        <f>T70+T72+T73+T74</f>
        <v>1268997.3700000001</v>
      </c>
      <c r="U69" s="98" t="s">
        <v>493</v>
      </c>
      <c r="V69" s="150" t="s">
        <v>25</v>
      </c>
      <c r="W69" s="150" t="s">
        <v>25</v>
      </c>
      <c r="X69" s="150" t="s">
        <v>25</v>
      </c>
      <c r="Y69" s="143"/>
      <c r="Z69" s="150" t="s">
        <v>25</v>
      </c>
      <c r="AA69" s="164"/>
      <c r="AB69" s="112">
        <f t="shared" si="6"/>
        <v>-2866644</v>
      </c>
      <c r="AC69" s="126">
        <f t="shared" si="4"/>
        <v>-2866644</v>
      </c>
      <c r="AD69" s="19"/>
      <c r="AE69" s="2"/>
      <c r="AJ69" s="135">
        <f>P69-K69</f>
        <v>-2866644</v>
      </c>
      <c r="AN69" s="118"/>
      <c r="AQ69" s="192" t="e">
        <f t="shared" si="1"/>
        <v>#DIV/0!</v>
      </c>
      <c r="AV69" s="192">
        <f t="shared" si="2"/>
        <v>74.821397243269018</v>
      </c>
      <c r="AX69" s="193" t="e">
        <f t="shared" si="3"/>
        <v>#VALUE!</v>
      </c>
    </row>
    <row r="70" spans="1:50" ht="289.5" customHeight="1" x14ac:dyDescent="0.65">
      <c r="A70" s="97" t="s">
        <v>88</v>
      </c>
      <c r="B70" s="159" t="s">
        <v>89</v>
      </c>
      <c r="C70" s="159" t="s">
        <v>29</v>
      </c>
      <c r="D70" s="155">
        <v>0</v>
      </c>
      <c r="E70" s="155">
        <v>809635.6</v>
      </c>
      <c r="F70" s="155">
        <v>0</v>
      </c>
      <c r="G70" s="155">
        <v>0</v>
      </c>
      <c r="H70" s="155">
        <v>0</v>
      </c>
      <c r="I70" s="155">
        <v>0</v>
      </c>
      <c r="J70" s="155">
        <v>0</v>
      </c>
      <c r="K70" s="155">
        <v>809635.6</v>
      </c>
      <c r="L70" s="155">
        <v>0</v>
      </c>
      <c r="M70" s="155">
        <v>0</v>
      </c>
      <c r="N70" s="155"/>
      <c r="O70" s="155">
        <v>0</v>
      </c>
      <c r="P70" s="155">
        <v>522003.20000000001</v>
      </c>
      <c r="Q70" s="155">
        <v>0</v>
      </c>
      <c r="R70" s="155">
        <v>0</v>
      </c>
      <c r="S70" s="155">
        <v>0</v>
      </c>
      <c r="T70" s="155">
        <v>63088.800000000003</v>
      </c>
      <c r="U70" s="98" t="s">
        <v>494</v>
      </c>
      <c r="V70" s="18"/>
      <c r="W70" s="96" t="s">
        <v>90</v>
      </c>
      <c r="X70" s="150">
        <v>50</v>
      </c>
      <c r="Y70" s="150">
        <v>50</v>
      </c>
      <c r="Z70" s="151" t="s">
        <v>34</v>
      </c>
      <c r="AA70" s="159"/>
      <c r="AB70" s="112">
        <f t="shared" si="6"/>
        <v>-287632.39999999997</v>
      </c>
      <c r="AC70" s="126">
        <f t="shared" si="4"/>
        <v>-287632.39999999997</v>
      </c>
      <c r="AD70" s="19"/>
      <c r="AE70" s="2"/>
      <c r="AJ70" s="135">
        <f>P70-K70</f>
        <v>-287632.39999999997</v>
      </c>
      <c r="AQ70" s="192" t="e">
        <f t="shared" si="1"/>
        <v>#DIV/0!</v>
      </c>
      <c r="AV70" s="192">
        <f t="shared" si="2"/>
        <v>64.473844776588379</v>
      </c>
      <c r="AX70" s="193">
        <f t="shared" si="3"/>
        <v>100</v>
      </c>
    </row>
    <row r="71" spans="1:50" ht="211.5" x14ac:dyDescent="0.65">
      <c r="A71" s="161" t="s">
        <v>91</v>
      </c>
      <c r="B71" s="159" t="s">
        <v>92</v>
      </c>
      <c r="C71" s="159" t="s">
        <v>29</v>
      </c>
      <c r="D71" s="155">
        <v>0</v>
      </c>
      <c r="E71" s="162">
        <v>10575603</v>
      </c>
      <c r="F71" s="162">
        <v>0</v>
      </c>
      <c r="G71" s="155">
        <v>0</v>
      </c>
      <c r="H71" s="155">
        <v>0</v>
      </c>
      <c r="I71" s="155">
        <v>0</v>
      </c>
      <c r="J71" s="155">
        <v>0</v>
      </c>
      <c r="K71" s="155">
        <f>K72+K73+K74</f>
        <v>10575603</v>
      </c>
      <c r="L71" s="155">
        <v>0</v>
      </c>
      <c r="M71" s="155">
        <v>0</v>
      </c>
      <c r="N71" s="155"/>
      <c r="O71" s="155">
        <v>0</v>
      </c>
      <c r="P71" s="155">
        <f>P72+P73+P74</f>
        <v>7996591.3999999994</v>
      </c>
      <c r="Q71" s="155">
        <v>0</v>
      </c>
      <c r="R71" s="155">
        <v>0</v>
      </c>
      <c r="S71" s="155">
        <v>0</v>
      </c>
      <c r="T71" s="155">
        <f>T72+T73+T74</f>
        <v>1205908.57</v>
      </c>
      <c r="U71" s="150"/>
      <c r="V71" s="150" t="s">
        <v>25</v>
      </c>
      <c r="W71" s="150" t="s">
        <v>25</v>
      </c>
      <c r="X71" s="150" t="s">
        <v>25</v>
      </c>
      <c r="Y71" s="150"/>
      <c r="Z71" s="150" t="s">
        <v>25</v>
      </c>
      <c r="AA71" s="164"/>
      <c r="AB71" s="112">
        <f t="shared" si="6"/>
        <v>-2579011.6000000006</v>
      </c>
      <c r="AC71" s="126">
        <f t="shared" si="4"/>
        <v>-2579011.6000000006</v>
      </c>
      <c r="AD71" s="19"/>
      <c r="AE71" s="2"/>
      <c r="AJ71" s="135"/>
      <c r="AQ71" s="192" t="e">
        <f t="shared" si="1"/>
        <v>#DIV/0!</v>
      </c>
      <c r="AV71" s="192">
        <f t="shared" si="2"/>
        <v>75.613573996678952</v>
      </c>
      <c r="AX71" s="193" t="e">
        <f t="shared" si="3"/>
        <v>#VALUE!</v>
      </c>
    </row>
    <row r="72" spans="1:50" ht="289.5" customHeight="1" x14ac:dyDescent="0.65">
      <c r="A72" s="161" t="s">
        <v>93</v>
      </c>
      <c r="B72" s="159" t="s">
        <v>94</v>
      </c>
      <c r="C72" s="159" t="s">
        <v>29</v>
      </c>
      <c r="D72" s="155">
        <v>0</v>
      </c>
      <c r="E72" s="162">
        <v>10474821.800000001</v>
      </c>
      <c r="F72" s="162">
        <v>0</v>
      </c>
      <c r="G72" s="155">
        <v>0</v>
      </c>
      <c r="H72" s="155">
        <v>0</v>
      </c>
      <c r="I72" s="155">
        <v>0</v>
      </c>
      <c r="J72" s="155">
        <v>0</v>
      </c>
      <c r="K72" s="155">
        <v>10474821.800000001</v>
      </c>
      <c r="L72" s="155">
        <v>0</v>
      </c>
      <c r="M72" s="155">
        <v>0</v>
      </c>
      <c r="N72" s="155"/>
      <c r="O72" s="155">
        <v>0</v>
      </c>
      <c r="P72" s="155">
        <v>7916198.5999999996</v>
      </c>
      <c r="Q72" s="155">
        <v>0</v>
      </c>
      <c r="R72" s="155">
        <v>0</v>
      </c>
      <c r="S72" s="155">
        <v>0</v>
      </c>
      <c r="T72" s="155">
        <v>1160259.54</v>
      </c>
      <c r="U72" s="159" t="s">
        <v>412</v>
      </c>
      <c r="V72" s="150"/>
      <c r="W72" s="151" t="s">
        <v>33</v>
      </c>
      <c r="X72" s="163">
        <v>178213</v>
      </c>
      <c r="Y72" s="163">
        <f>21023+2753+5777+9230+647+108207+381</f>
        <v>148018</v>
      </c>
      <c r="Z72" s="151" t="s">
        <v>520</v>
      </c>
      <c r="AA72" s="159" t="s">
        <v>294</v>
      </c>
      <c r="AB72" s="112">
        <f t="shared" si="6"/>
        <v>-2558623.2000000011</v>
      </c>
      <c r="AC72" s="126">
        <f t="shared" si="4"/>
        <v>-2558623.2000000011</v>
      </c>
      <c r="AD72" s="19"/>
      <c r="AE72" s="2"/>
      <c r="AH72" s="12">
        <f>P72/K72*100</f>
        <v>75.573587323461666</v>
      </c>
      <c r="AJ72" s="135">
        <f>P72-K72</f>
        <v>-2558623.2000000011</v>
      </c>
      <c r="AQ72" s="192" t="e">
        <f t="shared" si="1"/>
        <v>#DIV/0!</v>
      </c>
      <c r="AV72" s="192">
        <f t="shared" si="2"/>
        <v>75.573587323461666</v>
      </c>
      <c r="AX72" s="193">
        <f t="shared" si="3"/>
        <v>83.056791592083641</v>
      </c>
    </row>
    <row r="73" spans="1:50" ht="293.25" customHeight="1" x14ac:dyDescent="0.65">
      <c r="A73" s="161" t="s">
        <v>95</v>
      </c>
      <c r="B73" s="159" t="s">
        <v>96</v>
      </c>
      <c r="C73" s="159" t="s">
        <v>29</v>
      </c>
      <c r="D73" s="155">
        <v>0</v>
      </c>
      <c r="E73" s="155">
        <v>76144.100000000006</v>
      </c>
      <c r="F73" s="155">
        <v>0</v>
      </c>
      <c r="G73" s="155">
        <v>0</v>
      </c>
      <c r="H73" s="155">
        <v>0</v>
      </c>
      <c r="I73" s="155">
        <v>0</v>
      </c>
      <c r="J73" s="155">
        <v>0</v>
      </c>
      <c r="K73" s="155">
        <v>76144.100000000006</v>
      </c>
      <c r="L73" s="155">
        <v>0</v>
      </c>
      <c r="M73" s="155">
        <v>0</v>
      </c>
      <c r="N73" s="155"/>
      <c r="O73" s="155">
        <v>0</v>
      </c>
      <c r="P73" s="155">
        <v>63241.8</v>
      </c>
      <c r="Q73" s="155">
        <v>0</v>
      </c>
      <c r="R73" s="155">
        <v>0</v>
      </c>
      <c r="S73" s="155">
        <v>0</v>
      </c>
      <c r="T73" s="155">
        <v>43127.3</v>
      </c>
      <c r="U73" s="159" t="s">
        <v>413</v>
      </c>
      <c r="V73" s="150"/>
      <c r="W73" s="151" t="s">
        <v>90</v>
      </c>
      <c r="X73" s="150">
        <v>39</v>
      </c>
      <c r="Y73" s="150">
        <v>15</v>
      </c>
      <c r="Z73" s="151" t="s">
        <v>521</v>
      </c>
      <c r="AA73" s="159" t="s">
        <v>324</v>
      </c>
      <c r="AB73" s="112">
        <f t="shared" si="6"/>
        <v>-12902.300000000003</v>
      </c>
      <c r="AC73" s="126">
        <f t="shared" si="4"/>
        <v>-12902.300000000003</v>
      </c>
      <c r="AD73" s="19"/>
      <c r="AE73" s="2"/>
      <c r="AJ73" s="135">
        <f t="shared" ref="AJ73:AJ74" si="7">P73-K73</f>
        <v>-12902.300000000003</v>
      </c>
      <c r="AQ73" s="192" t="e">
        <f t="shared" si="1"/>
        <v>#DIV/0!</v>
      </c>
      <c r="AV73" s="192">
        <f t="shared" si="2"/>
        <v>83.055417294314324</v>
      </c>
      <c r="AX73" s="193">
        <f t="shared" si="3"/>
        <v>38.461538461538467</v>
      </c>
    </row>
    <row r="74" spans="1:50" ht="288.75" customHeight="1" x14ac:dyDescent="0.65">
      <c r="A74" s="97" t="s">
        <v>97</v>
      </c>
      <c r="B74" s="159" t="s">
        <v>470</v>
      </c>
      <c r="C74" s="159" t="s">
        <v>29</v>
      </c>
      <c r="D74" s="155">
        <v>0</v>
      </c>
      <c r="E74" s="155">
        <v>24637.1</v>
      </c>
      <c r="F74" s="155">
        <v>0</v>
      </c>
      <c r="G74" s="155">
        <v>0</v>
      </c>
      <c r="H74" s="155">
        <v>0</v>
      </c>
      <c r="I74" s="155">
        <v>0</v>
      </c>
      <c r="J74" s="155">
        <v>0</v>
      </c>
      <c r="K74" s="155">
        <v>24637.1</v>
      </c>
      <c r="L74" s="155">
        <v>0</v>
      </c>
      <c r="M74" s="155">
        <v>0</v>
      </c>
      <c r="N74" s="155">
        <v>0</v>
      </c>
      <c r="O74" s="155">
        <v>0</v>
      </c>
      <c r="P74" s="155">
        <v>17151</v>
      </c>
      <c r="Q74" s="155">
        <v>0</v>
      </c>
      <c r="R74" s="155">
        <v>0</v>
      </c>
      <c r="S74" s="155">
        <v>0</v>
      </c>
      <c r="T74" s="155">
        <v>2521.73</v>
      </c>
      <c r="U74" s="159" t="s">
        <v>414</v>
      </c>
      <c r="V74" s="96"/>
      <c r="W74" s="18" t="s">
        <v>33</v>
      </c>
      <c r="X74" s="157">
        <v>9737</v>
      </c>
      <c r="Y74" s="157">
        <v>9744</v>
      </c>
      <c r="Z74" s="151" t="s">
        <v>34</v>
      </c>
      <c r="AA74" s="159"/>
      <c r="AB74" s="112">
        <f t="shared" si="6"/>
        <v>-7486.0999999999985</v>
      </c>
      <c r="AC74" s="126">
        <f t="shared" si="4"/>
        <v>-7486.0999999999985</v>
      </c>
      <c r="AD74" s="19"/>
      <c r="AE74" s="2"/>
      <c r="AJ74" s="135">
        <f t="shared" si="7"/>
        <v>-7486.0999999999985</v>
      </c>
      <c r="AQ74" s="192" t="e">
        <f t="shared" si="1"/>
        <v>#DIV/0!</v>
      </c>
      <c r="AV74" s="192">
        <f t="shared" si="2"/>
        <v>69.614524436723485</v>
      </c>
      <c r="AX74" s="193">
        <f t="shared" si="3"/>
        <v>100.07189072609633</v>
      </c>
    </row>
    <row r="75" spans="1:50" ht="408.75" customHeight="1" x14ac:dyDescent="0.65">
      <c r="A75" s="226" t="s">
        <v>47</v>
      </c>
      <c r="B75" s="201" t="s">
        <v>98</v>
      </c>
      <c r="C75" s="201" t="s">
        <v>29</v>
      </c>
      <c r="D75" s="216">
        <v>0</v>
      </c>
      <c r="E75" s="216">
        <v>1633.6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1633.6</v>
      </c>
      <c r="L75" s="216">
        <v>0</v>
      </c>
      <c r="M75" s="216">
        <v>0</v>
      </c>
      <c r="N75" s="216">
        <v>0</v>
      </c>
      <c r="O75" s="216">
        <v>0</v>
      </c>
      <c r="P75" s="216">
        <v>1633.6</v>
      </c>
      <c r="Q75" s="216">
        <v>0</v>
      </c>
      <c r="R75" s="216">
        <v>0</v>
      </c>
      <c r="S75" s="216">
        <v>0</v>
      </c>
      <c r="T75" s="216">
        <v>717.91</v>
      </c>
      <c r="U75" s="217"/>
      <c r="V75" s="203"/>
      <c r="W75" s="203" t="s">
        <v>90</v>
      </c>
      <c r="X75" s="202">
        <v>6</v>
      </c>
      <c r="Y75" s="202">
        <v>6</v>
      </c>
      <c r="Z75" s="203" t="s">
        <v>34</v>
      </c>
      <c r="AA75" s="206"/>
      <c r="AB75" s="112">
        <f t="shared" si="6"/>
        <v>0</v>
      </c>
      <c r="AC75" s="126">
        <f t="shared" si="4"/>
        <v>0</v>
      </c>
      <c r="AD75" s="19"/>
      <c r="AE75" s="2"/>
      <c r="AJ75" s="216">
        <f>P75-K75</f>
        <v>0</v>
      </c>
      <c r="AN75" s="116" t="s">
        <v>309</v>
      </c>
      <c r="AQ75" s="192" t="e">
        <f t="shared" si="1"/>
        <v>#DIV/0!</v>
      </c>
      <c r="AV75" s="192">
        <f t="shared" si="2"/>
        <v>100</v>
      </c>
      <c r="AX75" s="193">
        <f t="shared" si="3"/>
        <v>100</v>
      </c>
    </row>
    <row r="76" spans="1:50" ht="58.5" customHeight="1" x14ac:dyDescent="0.65">
      <c r="A76" s="226"/>
      <c r="B76" s="201"/>
      <c r="C76" s="201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7"/>
      <c r="V76" s="203"/>
      <c r="W76" s="203"/>
      <c r="X76" s="202"/>
      <c r="Y76" s="202"/>
      <c r="Z76" s="203"/>
      <c r="AA76" s="207"/>
      <c r="AB76" s="112">
        <f t="shared" si="6"/>
        <v>0</v>
      </c>
      <c r="AC76" s="126"/>
      <c r="AD76" s="19"/>
      <c r="AE76" s="2"/>
      <c r="AJ76" s="216"/>
      <c r="AQ76" s="192" t="e">
        <f t="shared" si="1"/>
        <v>#DIV/0!</v>
      </c>
      <c r="AV76" s="192" t="e">
        <f t="shared" si="2"/>
        <v>#DIV/0!</v>
      </c>
      <c r="AX76" s="193" t="e">
        <f t="shared" si="3"/>
        <v>#DIV/0!</v>
      </c>
    </row>
    <row r="77" spans="1:50" ht="366" customHeight="1" x14ac:dyDescent="0.65">
      <c r="A77" s="96" t="s">
        <v>49</v>
      </c>
      <c r="B77" s="159" t="s">
        <v>99</v>
      </c>
      <c r="C77" s="159" t="s">
        <v>29</v>
      </c>
      <c r="D77" s="155">
        <v>0</v>
      </c>
      <c r="E77" s="155">
        <v>3462.9</v>
      </c>
      <c r="F77" s="155">
        <v>0</v>
      </c>
      <c r="G77" s="155">
        <v>0</v>
      </c>
      <c r="H77" s="155">
        <v>0</v>
      </c>
      <c r="I77" s="155">
        <v>0</v>
      </c>
      <c r="J77" s="155">
        <v>0</v>
      </c>
      <c r="K77" s="155">
        <v>3462.9</v>
      </c>
      <c r="L77" s="155">
        <v>0</v>
      </c>
      <c r="M77" s="155">
        <v>0</v>
      </c>
      <c r="N77" s="155">
        <v>0</v>
      </c>
      <c r="O77" s="155">
        <v>0</v>
      </c>
      <c r="P77" s="155">
        <v>3462.9</v>
      </c>
      <c r="Q77" s="155">
        <v>0</v>
      </c>
      <c r="R77" s="155">
        <v>0</v>
      </c>
      <c r="S77" s="155">
        <v>0</v>
      </c>
      <c r="T77" s="155">
        <v>696.46</v>
      </c>
      <c r="U77" s="96"/>
      <c r="V77" s="96"/>
      <c r="W77" s="96" t="s">
        <v>100</v>
      </c>
      <c r="X77" s="150">
        <v>3</v>
      </c>
      <c r="Y77" s="150">
        <v>2</v>
      </c>
      <c r="Z77" s="151" t="s">
        <v>521</v>
      </c>
      <c r="AA77" s="159" t="s">
        <v>528</v>
      </c>
      <c r="AB77" s="112">
        <f t="shared" si="6"/>
        <v>0</v>
      </c>
      <c r="AC77" s="126">
        <f t="shared" si="4"/>
        <v>0</v>
      </c>
      <c r="AD77" s="19"/>
      <c r="AE77" s="22"/>
      <c r="AJ77" s="135"/>
      <c r="AN77" s="116" t="s">
        <v>310</v>
      </c>
      <c r="AQ77" s="192" t="e">
        <f t="shared" si="1"/>
        <v>#DIV/0!</v>
      </c>
      <c r="AV77" s="192">
        <f t="shared" si="2"/>
        <v>100</v>
      </c>
      <c r="AX77" s="193">
        <f t="shared" si="3"/>
        <v>66.666666666666657</v>
      </c>
    </row>
    <row r="78" spans="1:50" ht="288" customHeight="1" x14ac:dyDescent="0.65">
      <c r="A78" s="96" t="s">
        <v>101</v>
      </c>
      <c r="B78" s="159" t="s">
        <v>241</v>
      </c>
      <c r="C78" s="159" t="s">
        <v>29</v>
      </c>
      <c r="D78" s="155">
        <v>0</v>
      </c>
      <c r="E78" s="155">
        <v>1260</v>
      </c>
      <c r="F78" s="155">
        <v>0</v>
      </c>
      <c r="G78" s="155">
        <v>0</v>
      </c>
      <c r="H78" s="155">
        <v>0</v>
      </c>
      <c r="I78" s="155">
        <v>0</v>
      </c>
      <c r="J78" s="155">
        <v>0</v>
      </c>
      <c r="K78" s="155">
        <v>1260</v>
      </c>
      <c r="L78" s="155">
        <v>0</v>
      </c>
      <c r="M78" s="155">
        <v>0</v>
      </c>
      <c r="N78" s="155">
        <v>0</v>
      </c>
      <c r="O78" s="155">
        <v>0</v>
      </c>
      <c r="P78" s="155">
        <v>1260</v>
      </c>
      <c r="Q78" s="155">
        <v>0</v>
      </c>
      <c r="R78" s="155">
        <v>0</v>
      </c>
      <c r="S78" s="155">
        <v>0</v>
      </c>
      <c r="T78" s="155">
        <v>0</v>
      </c>
      <c r="U78" s="96"/>
      <c r="V78" s="96"/>
      <c r="W78" s="96" t="s">
        <v>102</v>
      </c>
      <c r="X78" s="150">
        <v>25</v>
      </c>
      <c r="Y78" s="150">
        <v>0</v>
      </c>
      <c r="Z78" s="151" t="s">
        <v>521</v>
      </c>
      <c r="AA78" s="159" t="s">
        <v>294</v>
      </c>
      <c r="AB78" s="112">
        <f t="shared" si="6"/>
        <v>0</v>
      </c>
      <c r="AC78" s="126">
        <f t="shared" si="4"/>
        <v>0</v>
      </c>
      <c r="AD78" s="19"/>
      <c r="AE78" s="2"/>
      <c r="AJ78" s="135"/>
      <c r="AN78" s="116" t="s">
        <v>310</v>
      </c>
      <c r="AQ78" s="192" t="e">
        <f t="shared" si="1"/>
        <v>#DIV/0!</v>
      </c>
      <c r="AV78" s="192">
        <f t="shared" si="2"/>
        <v>100</v>
      </c>
      <c r="AX78" s="193">
        <f t="shared" si="3"/>
        <v>0</v>
      </c>
    </row>
    <row r="79" spans="1:50" ht="294" customHeight="1" x14ac:dyDescent="0.65">
      <c r="A79" s="97" t="s">
        <v>103</v>
      </c>
      <c r="B79" s="159" t="s">
        <v>104</v>
      </c>
      <c r="C79" s="159" t="s">
        <v>29</v>
      </c>
      <c r="D79" s="155">
        <v>0</v>
      </c>
      <c r="E79" s="155">
        <v>700</v>
      </c>
      <c r="F79" s="155">
        <v>0</v>
      </c>
      <c r="G79" s="155">
        <v>0</v>
      </c>
      <c r="H79" s="155">
        <v>0</v>
      </c>
      <c r="I79" s="155">
        <v>0</v>
      </c>
      <c r="J79" s="155">
        <v>0</v>
      </c>
      <c r="K79" s="155">
        <v>700</v>
      </c>
      <c r="L79" s="155">
        <v>0</v>
      </c>
      <c r="M79" s="155">
        <v>0</v>
      </c>
      <c r="N79" s="155">
        <v>0</v>
      </c>
      <c r="O79" s="155">
        <v>0</v>
      </c>
      <c r="P79" s="155">
        <v>700</v>
      </c>
      <c r="Q79" s="155">
        <v>0</v>
      </c>
      <c r="R79" s="155">
        <v>0</v>
      </c>
      <c r="S79" s="155">
        <v>0</v>
      </c>
      <c r="T79" s="155">
        <v>58</v>
      </c>
      <c r="U79" s="99"/>
      <c r="V79" s="18"/>
      <c r="W79" s="96" t="s">
        <v>33</v>
      </c>
      <c r="X79" s="157">
        <v>1020</v>
      </c>
      <c r="Y79" s="150">
        <v>964</v>
      </c>
      <c r="Z79" s="151" t="s">
        <v>521</v>
      </c>
      <c r="AA79" s="159" t="s">
        <v>294</v>
      </c>
      <c r="AB79" s="112">
        <f t="shared" si="6"/>
        <v>0</v>
      </c>
      <c r="AC79" s="126">
        <f t="shared" si="4"/>
        <v>0</v>
      </c>
      <c r="AD79" s="19"/>
      <c r="AE79" s="2"/>
      <c r="AJ79" s="135"/>
      <c r="AN79" s="116" t="s">
        <v>310</v>
      </c>
      <c r="AQ79" s="192" t="e">
        <f t="shared" si="1"/>
        <v>#DIV/0!</v>
      </c>
      <c r="AV79" s="192">
        <f t="shared" si="2"/>
        <v>100</v>
      </c>
      <c r="AX79" s="193">
        <f t="shared" si="3"/>
        <v>94.509803921568619</v>
      </c>
    </row>
    <row r="80" spans="1:50" ht="285" customHeight="1" x14ac:dyDescent="0.65">
      <c r="A80" s="161" t="s">
        <v>105</v>
      </c>
      <c r="B80" s="159" t="s">
        <v>106</v>
      </c>
      <c r="C80" s="159" t="s">
        <v>29</v>
      </c>
      <c r="D80" s="155">
        <v>0</v>
      </c>
      <c r="E80" s="155">
        <v>15832.4</v>
      </c>
      <c r="F80" s="155">
        <v>0</v>
      </c>
      <c r="G80" s="155">
        <v>0</v>
      </c>
      <c r="H80" s="155">
        <v>0</v>
      </c>
      <c r="I80" s="155">
        <v>0</v>
      </c>
      <c r="J80" s="155">
        <v>0</v>
      </c>
      <c r="K80" s="155">
        <v>15832.4</v>
      </c>
      <c r="L80" s="155">
        <v>0</v>
      </c>
      <c r="M80" s="155">
        <v>0</v>
      </c>
      <c r="N80" s="155">
        <v>0</v>
      </c>
      <c r="O80" s="155">
        <v>0</v>
      </c>
      <c r="P80" s="167">
        <v>11592.8</v>
      </c>
      <c r="Q80" s="155">
        <v>0</v>
      </c>
      <c r="R80" s="155">
        <v>0</v>
      </c>
      <c r="S80" s="155">
        <v>0</v>
      </c>
      <c r="T80" s="155">
        <v>8158.66</v>
      </c>
      <c r="U80" s="159" t="s">
        <v>527</v>
      </c>
      <c r="V80" s="150"/>
      <c r="W80" s="151" t="s">
        <v>33</v>
      </c>
      <c r="X80" s="150">
        <v>290</v>
      </c>
      <c r="Y80" s="150">
        <v>293</v>
      </c>
      <c r="Z80" s="151" t="s">
        <v>34</v>
      </c>
      <c r="AA80" s="159"/>
      <c r="AB80" s="112">
        <f t="shared" si="6"/>
        <v>-4239.6000000000004</v>
      </c>
      <c r="AC80" s="126">
        <f t="shared" si="4"/>
        <v>-4239.6000000000004</v>
      </c>
      <c r="AD80" s="19"/>
      <c r="AE80" s="2"/>
      <c r="AJ80" s="135">
        <f>P80-K80</f>
        <v>-4239.6000000000004</v>
      </c>
      <c r="AN80" s="116" t="s">
        <v>310</v>
      </c>
      <c r="AQ80" s="192" t="e">
        <f t="shared" ref="AQ80:AQ129" si="8">N80/I80*100</f>
        <v>#DIV/0!</v>
      </c>
      <c r="AV80" s="192">
        <f t="shared" ref="AV80:AV129" si="9">P80/K80*100</f>
        <v>73.222000454763645</v>
      </c>
      <c r="AX80" s="193">
        <f t="shared" ref="AX80:AX129" si="10">Y80/X80*100</f>
        <v>101.03448275862068</v>
      </c>
    </row>
    <row r="81" spans="1:50" ht="408.75" customHeight="1" x14ac:dyDescent="0.65">
      <c r="A81" s="161" t="s">
        <v>107</v>
      </c>
      <c r="B81" s="159" t="s">
        <v>267</v>
      </c>
      <c r="C81" s="159" t="s">
        <v>29</v>
      </c>
      <c r="D81" s="155">
        <v>0</v>
      </c>
      <c r="E81" s="155">
        <v>1000</v>
      </c>
      <c r="F81" s="155">
        <v>0</v>
      </c>
      <c r="G81" s="155">
        <v>0</v>
      </c>
      <c r="H81" s="155">
        <v>0</v>
      </c>
      <c r="I81" s="155">
        <v>0</v>
      </c>
      <c r="J81" s="155">
        <v>0</v>
      </c>
      <c r="K81" s="155">
        <v>1000</v>
      </c>
      <c r="L81" s="155">
        <v>0</v>
      </c>
      <c r="M81" s="155">
        <v>0</v>
      </c>
      <c r="N81" s="155">
        <v>0</v>
      </c>
      <c r="O81" s="155">
        <v>0</v>
      </c>
      <c r="P81" s="155">
        <v>1000</v>
      </c>
      <c r="Q81" s="155">
        <v>0</v>
      </c>
      <c r="R81" s="155">
        <v>0</v>
      </c>
      <c r="S81" s="155">
        <v>0</v>
      </c>
      <c r="T81" s="155">
        <v>294.98</v>
      </c>
      <c r="U81" s="159"/>
      <c r="V81" s="150"/>
      <c r="W81" s="151" t="s">
        <v>108</v>
      </c>
      <c r="X81" s="150">
        <v>200</v>
      </c>
      <c r="Y81" s="150">
        <v>0</v>
      </c>
      <c r="Z81" s="151" t="s">
        <v>521</v>
      </c>
      <c r="AA81" s="159" t="s">
        <v>294</v>
      </c>
      <c r="AB81" s="112">
        <f t="shared" si="6"/>
        <v>0</v>
      </c>
      <c r="AC81" s="126">
        <f t="shared" si="4"/>
        <v>0</v>
      </c>
      <c r="AD81" s="19"/>
      <c r="AE81" s="2"/>
      <c r="AH81" s="12">
        <f>1000/1250*100</f>
        <v>80</v>
      </c>
      <c r="AJ81" s="136"/>
      <c r="AN81" s="116" t="s">
        <v>310</v>
      </c>
      <c r="AQ81" s="192" t="e">
        <f t="shared" si="8"/>
        <v>#DIV/0!</v>
      </c>
      <c r="AV81" s="192">
        <f t="shared" si="9"/>
        <v>100</v>
      </c>
      <c r="AX81" s="193">
        <f t="shared" si="10"/>
        <v>0</v>
      </c>
    </row>
    <row r="82" spans="1:50" ht="409.5" x14ac:dyDescent="0.65">
      <c r="A82" s="96" t="s">
        <v>109</v>
      </c>
      <c r="B82" s="159" t="s">
        <v>436</v>
      </c>
      <c r="C82" s="159" t="s">
        <v>29</v>
      </c>
      <c r="D82" s="155">
        <v>0</v>
      </c>
      <c r="E82" s="162">
        <v>4400</v>
      </c>
      <c r="F82" s="155">
        <v>0</v>
      </c>
      <c r="G82" s="155">
        <v>0</v>
      </c>
      <c r="H82" s="155">
        <v>0</v>
      </c>
      <c r="I82" s="155">
        <v>0</v>
      </c>
      <c r="J82" s="155">
        <v>0</v>
      </c>
      <c r="K82" s="155">
        <v>4400</v>
      </c>
      <c r="L82" s="155">
        <v>0</v>
      </c>
      <c r="M82" s="155">
        <v>0</v>
      </c>
      <c r="N82" s="155">
        <v>0</v>
      </c>
      <c r="O82" s="155">
        <v>0</v>
      </c>
      <c r="P82" s="155">
        <v>4180</v>
      </c>
      <c r="Q82" s="155">
        <v>0</v>
      </c>
      <c r="R82" s="155">
        <v>0</v>
      </c>
      <c r="S82" s="155">
        <v>0</v>
      </c>
      <c r="T82" s="155">
        <f>2189+1991</f>
        <v>4180</v>
      </c>
      <c r="U82" s="99" t="s">
        <v>398</v>
      </c>
      <c r="V82" s="18"/>
      <c r="W82" s="96" t="s">
        <v>110</v>
      </c>
      <c r="X82" s="163">
        <v>2</v>
      </c>
      <c r="Y82" s="150">
        <v>2</v>
      </c>
      <c r="Z82" s="151" t="s">
        <v>34</v>
      </c>
      <c r="AA82" s="159"/>
      <c r="AB82" s="112">
        <f t="shared" si="6"/>
        <v>-220</v>
      </c>
      <c r="AC82" s="126">
        <f t="shared" ref="AC82:AC129" si="11">P82-K82</f>
        <v>-220</v>
      </c>
      <c r="AD82" s="129"/>
      <c r="AE82" s="23"/>
      <c r="AJ82" s="135"/>
      <c r="AN82" s="116" t="s">
        <v>311</v>
      </c>
      <c r="AQ82" s="192" t="e">
        <f t="shared" si="8"/>
        <v>#DIV/0!</v>
      </c>
      <c r="AV82" s="192">
        <f t="shared" si="9"/>
        <v>95</v>
      </c>
      <c r="AX82" s="193">
        <f t="shared" si="10"/>
        <v>100</v>
      </c>
    </row>
    <row r="83" spans="1:50" ht="331.5" customHeight="1" x14ac:dyDescent="0.65">
      <c r="A83" s="96" t="s">
        <v>50</v>
      </c>
      <c r="B83" s="159" t="s">
        <v>279</v>
      </c>
      <c r="C83" s="159" t="s">
        <v>29</v>
      </c>
      <c r="D83" s="155">
        <v>0</v>
      </c>
      <c r="E83" s="162">
        <v>13033.4</v>
      </c>
      <c r="F83" s="155">
        <v>0</v>
      </c>
      <c r="G83" s="155">
        <v>0</v>
      </c>
      <c r="H83" s="155">
        <v>0</v>
      </c>
      <c r="I83" s="155">
        <v>0</v>
      </c>
      <c r="J83" s="155">
        <v>0</v>
      </c>
      <c r="K83" s="155">
        <v>13033.4</v>
      </c>
      <c r="L83" s="155">
        <v>0</v>
      </c>
      <c r="M83" s="155">
        <v>0</v>
      </c>
      <c r="N83" s="155">
        <v>0</v>
      </c>
      <c r="O83" s="155">
        <v>0</v>
      </c>
      <c r="P83" s="155">
        <v>0</v>
      </c>
      <c r="Q83" s="155">
        <v>0</v>
      </c>
      <c r="R83" s="155">
        <v>0</v>
      </c>
      <c r="S83" s="155">
        <v>0</v>
      </c>
      <c r="T83" s="155">
        <v>0</v>
      </c>
      <c r="U83" s="99" t="s">
        <v>321</v>
      </c>
      <c r="V83" s="18"/>
      <c r="W83" s="96" t="s">
        <v>33</v>
      </c>
      <c r="X83" s="163">
        <v>724</v>
      </c>
      <c r="Y83" s="150">
        <v>0</v>
      </c>
      <c r="Z83" s="151" t="s">
        <v>521</v>
      </c>
      <c r="AA83" s="159" t="s">
        <v>294</v>
      </c>
      <c r="AB83" s="112">
        <f t="shared" si="6"/>
        <v>-13033.4</v>
      </c>
      <c r="AC83" s="126">
        <f t="shared" si="11"/>
        <v>-13033.4</v>
      </c>
      <c r="AD83" s="129"/>
      <c r="AE83" s="23"/>
      <c r="AJ83" s="135"/>
      <c r="AN83" s="116" t="s">
        <v>311</v>
      </c>
      <c r="AQ83" s="192" t="e">
        <f t="shared" si="8"/>
        <v>#DIV/0!</v>
      </c>
      <c r="AV83" s="192">
        <f t="shared" si="9"/>
        <v>0</v>
      </c>
      <c r="AX83" s="193">
        <f t="shared" si="10"/>
        <v>0</v>
      </c>
    </row>
    <row r="84" spans="1:50" ht="123" customHeight="1" x14ac:dyDescent="0.65">
      <c r="A84" s="161" t="s">
        <v>111</v>
      </c>
      <c r="B84" s="11" t="s">
        <v>112</v>
      </c>
      <c r="C84" s="134"/>
      <c r="D84" s="108">
        <f>D85+D87+D96+D98+D99+D106+D101+D102+D103+D108+D109+D110+D111+D114+D116+D118+D120+D122+D124+D126+D127+D129+D112+D107</f>
        <v>14907485.699999999</v>
      </c>
      <c r="E84" s="108">
        <f>E85+E87+E96+E98+E99+E103+E108+E109+E110+E112+E113+E114+E116+E118+E120+E122+E124+E126+E129+E107</f>
        <v>15944347.300000001</v>
      </c>
      <c r="F84" s="108">
        <f>F85+F87+F96+F98+F99+F106+F101+F102+F103+F108+F109+F110+F111+F114+F116+F118+F120+F122+F124+F126+F127+F129</f>
        <v>0</v>
      </c>
      <c r="G84" s="108">
        <f>G85+G87+G96+G98+G99+G106+G101+G102+G103+G108+G109+G110+G111+G114+G116+G118+G120+G122+G124+G126+G127+G129</f>
        <v>0</v>
      </c>
      <c r="H84" s="108">
        <f>H85+H87+H96+H98+H99+H106+H101+H102+H103+H108+H109+H110+H111+H114+H116+H118+H120+H122+H124+H126+H127+H129</f>
        <v>0</v>
      </c>
      <c r="I84" s="108">
        <f>I85+I87+I96+I98+I99+I106+I101+I102+I103+I108+I109+I110+I111+I114+I116+I118+I120+I122+I124+I126+I127+I129+I107</f>
        <v>16795248.600000001</v>
      </c>
      <c r="J84" s="108">
        <f>J85+J87+J96+J98+J99+J106+J101+J102+J103+J108+J109+J110+J111+J114+J116+J118+J120+J122+J124+J126+J127+J129</f>
        <v>0</v>
      </c>
      <c r="K84" s="108">
        <f>K85+K87+K96+K98+K99+K103+K108+K109+K110+K112+K113+K114+K116+K118+K120+K122+K124+K126+K129+K107+K102</f>
        <v>16094977.300000001</v>
      </c>
      <c r="L84" s="108">
        <f>L85+L87+L96+L98+L99+L106+L101+L102+L103+L108+L109+L110+L111+L114+L116+L118+L120+L122+L124+L126+L127+L129+L112</f>
        <v>0</v>
      </c>
      <c r="M84" s="108">
        <f>M85+M87+M96+M98+M99+M106+M101+M102+M103+M108+M109+M110+M111+M114+M116+M118+M120+M122+M124+M126+M127+M129+M112</f>
        <v>0</v>
      </c>
      <c r="N84" s="108">
        <f>N101+N102+N106+N127+N111+N107</f>
        <v>12347411.800000001</v>
      </c>
      <c r="O84" s="108">
        <f>O85+O87+O96+O98+O99+O106+O101+O102+O103+O108+O109+O110+O111+O114+O116+O118+O120+O122+O124+O126+O127+O129+O112</f>
        <v>0</v>
      </c>
      <c r="P84" s="108">
        <f>P85+P87+P96+P98+P99+P106+P101+P102+P103+P108+P109+P110+P111+P114+P116+P118+P120+P122+P124+P126+P127+P129+P112+P113+P107</f>
        <v>12071389.799999999</v>
      </c>
      <c r="Q84" s="108">
        <f>Q85+Q87+Q96+Q98+Q99+Q106+Q101+Q102+Q103+Q108+Q109+Q110+Q111+Q114+Q116+Q118+Q120+Q122+Q124+Q126+Q127+Q129+Q112</f>
        <v>0</v>
      </c>
      <c r="R84" s="108">
        <f>R85+R87+R96+R98+R99+R106+R101+R102+R103+R108+R109+R110+R111+R114+R116+R118+R120+R122+R124+R126+R127+R129+R112</f>
        <v>0</v>
      </c>
      <c r="S84" s="108">
        <f>S85+S87+S96+S98+S99+S106+S101+S102+S103+S108+S109+S110+S111+S114+S116+S118+S120+S122+S124+S126+S127+S129+S112</f>
        <v>0</v>
      </c>
      <c r="T84" s="108">
        <f>T85+T87+T96+T98+T99+T106+T101+T102+T103+T108+T109+T110+T111+T114+T116+T118+T120+T122+T124+T126+T127+T129+T112</f>
        <v>517704.44999999995</v>
      </c>
      <c r="U84" s="10" t="s">
        <v>25</v>
      </c>
      <c r="V84" s="10" t="s">
        <v>25</v>
      </c>
      <c r="W84" s="10" t="s">
        <v>25</v>
      </c>
      <c r="X84" s="10" t="s">
        <v>25</v>
      </c>
      <c r="Y84" s="10"/>
      <c r="Z84" s="10" t="s">
        <v>25</v>
      </c>
      <c r="AA84" s="24"/>
      <c r="AB84" s="24"/>
      <c r="AC84" s="126">
        <f t="shared" si="11"/>
        <v>-4023587.5000000019</v>
      </c>
      <c r="AD84" s="127">
        <f>(N84+P84)/(I84+K84)*100</f>
        <v>74.243338048949056</v>
      </c>
      <c r="AE84" s="2"/>
      <c r="AH84" s="13">
        <f>N84/I84*100</f>
        <v>73.517291074810288</v>
      </c>
      <c r="AI84" s="13">
        <f>P84/K84*100</f>
        <v>75.000974372296866</v>
      </c>
      <c r="AJ84" s="135"/>
      <c r="AN84" s="117"/>
      <c r="AQ84" s="192">
        <f t="shared" si="8"/>
        <v>73.517291074810288</v>
      </c>
      <c r="AV84" s="192">
        <f t="shared" si="9"/>
        <v>75.000974372296866</v>
      </c>
      <c r="AX84" s="193" t="e">
        <f t="shared" si="10"/>
        <v>#VALUE!</v>
      </c>
    </row>
    <row r="85" spans="1:50" ht="261" customHeight="1" x14ac:dyDescent="0.65">
      <c r="A85" s="97" t="s">
        <v>35</v>
      </c>
      <c r="B85" s="159" t="s">
        <v>113</v>
      </c>
      <c r="C85" s="159" t="s">
        <v>29</v>
      </c>
      <c r="D85" s="155">
        <v>0</v>
      </c>
      <c r="E85" s="155">
        <f>E86</f>
        <v>2518787.7000000002</v>
      </c>
      <c r="F85" s="155">
        <v>0</v>
      </c>
      <c r="G85" s="155">
        <v>0</v>
      </c>
      <c r="H85" s="155">
        <v>0</v>
      </c>
      <c r="I85" s="155"/>
      <c r="J85" s="155">
        <v>0</v>
      </c>
      <c r="K85" s="155">
        <f>K86</f>
        <v>2518787.7000000002</v>
      </c>
      <c r="L85" s="155">
        <v>0</v>
      </c>
      <c r="M85" s="155">
        <v>0</v>
      </c>
      <c r="N85" s="155">
        <v>0</v>
      </c>
      <c r="O85" s="155">
        <v>0</v>
      </c>
      <c r="P85" s="155">
        <f>P86</f>
        <v>1656542.8</v>
      </c>
      <c r="Q85" s="155">
        <v>0</v>
      </c>
      <c r="R85" s="155">
        <v>0</v>
      </c>
      <c r="S85" s="155"/>
      <c r="T85" s="155">
        <f>T86</f>
        <v>233871.5</v>
      </c>
      <c r="U85" s="18" t="s">
        <v>25</v>
      </c>
      <c r="V85" s="168" t="s">
        <v>25</v>
      </c>
      <c r="W85" s="168" t="s">
        <v>25</v>
      </c>
      <c r="X85" s="150" t="s">
        <v>25</v>
      </c>
      <c r="Y85" s="150"/>
      <c r="Z85" s="150" t="s">
        <v>25</v>
      </c>
      <c r="AA85" s="164"/>
      <c r="AB85" s="164"/>
      <c r="AC85" s="126">
        <f t="shared" si="11"/>
        <v>-862244.90000000014</v>
      </c>
      <c r="AD85" s="19"/>
      <c r="AE85" s="2"/>
      <c r="AJ85" s="135"/>
      <c r="AQ85" s="192" t="e">
        <f t="shared" si="8"/>
        <v>#DIV/0!</v>
      </c>
      <c r="AV85" s="192">
        <f t="shared" si="9"/>
        <v>65.767464244803165</v>
      </c>
      <c r="AX85" s="193" t="e">
        <f t="shared" si="10"/>
        <v>#VALUE!</v>
      </c>
    </row>
    <row r="86" spans="1:50" ht="285.75" customHeight="1" x14ac:dyDescent="0.65">
      <c r="A86" s="161" t="s">
        <v>84</v>
      </c>
      <c r="B86" s="159" t="s">
        <v>89</v>
      </c>
      <c r="C86" s="159" t="s">
        <v>29</v>
      </c>
      <c r="D86" s="155">
        <v>0</v>
      </c>
      <c r="E86" s="155">
        <v>2518787.7000000002</v>
      </c>
      <c r="F86" s="155">
        <v>0</v>
      </c>
      <c r="G86" s="155">
        <v>0</v>
      </c>
      <c r="H86" s="155">
        <v>0</v>
      </c>
      <c r="I86" s="155">
        <v>0</v>
      </c>
      <c r="J86" s="155">
        <v>0</v>
      </c>
      <c r="K86" s="155">
        <v>2518787.7000000002</v>
      </c>
      <c r="L86" s="155">
        <v>0</v>
      </c>
      <c r="M86" s="155">
        <v>0</v>
      </c>
      <c r="N86" s="155"/>
      <c r="O86" s="155">
        <v>0</v>
      </c>
      <c r="P86" s="155">
        <v>1656542.8</v>
      </c>
      <c r="Q86" s="155">
        <v>0</v>
      </c>
      <c r="R86" s="155">
        <v>0</v>
      </c>
      <c r="S86" s="155">
        <v>0</v>
      </c>
      <c r="T86" s="155">
        <v>233871.5</v>
      </c>
      <c r="U86" s="159" t="s">
        <v>495</v>
      </c>
      <c r="V86" s="150"/>
      <c r="W86" s="150" t="s">
        <v>33</v>
      </c>
      <c r="X86" s="157">
        <v>42531</v>
      </c>
      <c r="Y86" s="157">
        <f>2851+340+15571+1361+6277</f>
        <v>26400</v>
      </c>
      <c r="Z86" s="151" t="s">
        <v>521</v>
      </c>
      <c r="AA86" s="159" t="s">
        <v>294</v>
      </c>
      <c r="AB86" s="158">
        <f>P86-K86</f>
        <v>-862244.90000000014</v>
      </c>
      <c r="AC86" s="126">
        <f t="shared" si="11"/>
        <v>-862244.90000000014</v>
      </c>
      <c r="AD86" s="19"/>
      <c r="AE86" s="2"/>
      <c r="AJ86" s="135">
        <f>P86-K86</f>
        <v>-862244.90000000014</v>
      </c>
      <c r="AN86" s="116" t="s">
        <v>312</v>
      </c>
      <c r="AQ86" s="192" t="e">
        <f t="shared" si="8"/>
        <v>#DIV/0!</v>
      </c>
      <c r="AV86" s="192">
        <f t="shared" si="9"/>
        <v>65.767464244803165</v>
      </c>
      <c r="AX86" s="193">
        <f t="shared" si="10"/>
        <v>62.072370741341608</v>
      </c>
    </row>
    <row r="87" spans="1:50" ht="409.5" customHeight="1" x14ac:dyDescent="0.65">
      <c r="A87" s="226" t="s">
        <v>36</v>
      </c>
      <c r="B87" s="201" t="s">
        <v>251</v>
      </c>
      <c r="C87" s="201" t="s">
        <v>29</v>
      </c>
      <c r="D87" s="216">
        <v>0</v>
      </c>
      <c r="E87" s="229">
        <f>E89+E91</f>
        <v>336185.30000000005</v>
      </c>
      <c r="F87" s="229">
        <v>0</v>
      </c>
      <c r="G87" s="216">
        <v>0</v>
      </c>
      <c r="H87" s="216">
        <v>0</v>
      </c>
      <c r="I87" s="216">
        <v>0</v>
      </c>
      <c r="J87" s="216">
        <v>0</v>
      </c>
      <c r="K87" s="216">
        <f>K89+K91</f>
        <v>336185.30000000005</v>
      </c>
      <c r="L87" s="216">
        <v>0</v>
      </c>
      <c r="M87" s="216">
        <v>0</v>
      </c>
      <c r="N87" s="216">
        <v>0</v>
      </c>
      <c r="O87" s="216">
        <v>0</v>
      </c>
      <c r="P87" s="216">
        <f>P89+P91</f>
        <v>229309.80000000002</v>
      </c>
      <c r="Q87" s="216">
        <v>0</v>
      </c>
      <c r="R87" s="216">
        <v>0</v>
      </c>
      <c r="S87" s="216">
        <v>0</v>
      </c>
      <c r="T87" s="216">
        <f>T89+T91</f>
        <v>31703.3</v>
      </c>
      <c r="U87" s="202"/>
      <c r="V87" s="202" t="s">
        <v>25</v>
      </c>
      <c r="W87" s="202" t="s">
        <v>25</v>
      </c>
      <c r="X87" s="202" t="s">
        <v>25</v>
      </c>
      <c r="Y87" s="202"/>
      <c r="Z87" s="202" t="s">
        <v>25</v>
      </c>
      <c r="AA87" s="210"/>
      <c r="AB87" s="164"/>
      <c r="AC87" s="126">
        <f t="shared" si="11"/>
        <v>-106875.50000000003</v>
      </c>
      <c r="AD87" s="19"/>
      <c r="AE87" s="2"/>
      <c r="AJ87" s="135"/>
      <c r="AQ87" s="192" t="e">
        <f t="shared" si="8"/>
        <v>#DIV/0!</v>
      </c>
      <c r="AV87" s="192">
        <f t="shared" si="9"/>
        <v>68.209347642505477</v>
      </c>
      <c r="AX87" s="193" t="e">
        <f t="shared" si="10"/>
        <v>#VALUE!</v>
      </c>
    </row>
    <row r="88" spans="1:50" ht="126" customHeight="1" x14ac:dyDescent="0.65">
      <c r="A88" s="226"/>
      <c r="B88" s="201"/>
      <c r="C88" s="201"/>
      <c r="D88" s="216"/>
      <c r="E88" s="229"/>
      <c r="F88" s="229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02"/>
      <c r="V88" s="202"/>
      <c r="W88" s="202"/>
      <c r="X88" s="202"/>
      <c r="Y88" s="202"/>
      <c r="Z88" s="202"/>
      <c r="AA88" s="211"/>
      <c r="AB88" s="164"/>
      <c r="AC88" s="126"/>
      <c r="AD88" s="19"/>
      <c r="AE88" s="2"/>
      <c r="AJ88" s="135"/>
      <c r="AQ88" s="192" t="e">
        <f t="shared" si="8"/>
        <v>#DIV/0!</v>
      </c>
      <c r="AV88" s="192" t="e">
        <f t="shared" si="9"/>
        <v>#DIV/0!</v>
      </c>
      <c r="AX88" s="193" t="e">
        <f t="shared" si="10"/>
        <v>#DIV/0!</v>
      </c>
    </row>
    <row r="89" spans="1:50" ht="289.5" customHeight="1" x14ac:dyDescent="0.65">
      <c r="A89" s="226" t="s">
        <v>114</v>
      </c>
      <c r="B89" s="201" t="s">
        <v>89</v>
      </c>
      <c r="C89" s="201" t="s">
        <v>29</v>
      </c>
      <c r="D89" s="216">
        <v>0</v>
      </c>
      <c r="E89" s="229">
        <v>124862.5</v>
      </c>
      <c r="F89" s="229">
        <v>0</v>
      </c>
      <c r="G89" s="216">
        <v>0</v>
      </c>
      <c r="H89" s="216">
        <v>0</v>
      </c>
      <c r="I89" s="216">
        <v>0</v>
      </c>
      <c r="J89" s="216">
        <v>0</v>
      </c>
      <c r="K89" s="216">
        <v>124862.5</v>
      </c>
      <c r="L89" s="216">
        <v>0</v>
      </c>
      <c r="M89" s="216">
        <v>0</v>
      </c>
      <c r="N89" s="216">
        <v>0</v>
      </c>
      <c r="O89" s="216">
        <v>0</v>
      </c>
      <c r="P89" s="216">
        <v>56346.5</v>
      </c>
      <c r="Q89" s="216">
        <v>0</v>
      </c>
      <c r="R89" s="216">
        <v>0</v>
      </c>
      <c r="S89" s="216">
        <v>0</v>
      </c>
      <c r="T89" s="216">
        <v>10868.5</v>
      </c>
      <c r="U89" s="201" t="s">
        <v>496</v>
      </c>
      <c r="V89" s="202"/>
      <c r="W89" s="202" t="s">
        <v>33</v>
      </c>
      <c r="X89" s="202">
        <v>100</v>
      </c>
      <c r="Y89" s="202">
        <v>104</v>
      </c>
      <c r="Z89" s="203" t="s">
        <v>34</v>
      </c>
      <c r="AA89" s="201"/>
      <c r="AB89" s="158">
        <f>P89-K89</f>
        <v>-68516</v>
      </c>
      <c r="AC89" s="126">
        <f t="shared" si="11"/>
        <v>-68516</v>
      </c>
      <c r="AD89" s="19"/>
      <c r="AE89" s="2"/>
      <c r="AJ89" s="135">
        <f>P89-K89</f>
        <v>-68516</v>
      </c>
      <c r="AN89" s="116" t="s">
        <v>312</v>
      </c>
      <c r="AQ89" s="192" t="e">
        <f t="shared" si="8"/>
        <v>#DIV/0!</v>
      </c>
      <c r="AV89" s="192">
        <f t="shared" si="9"/>
        <v>45.126839523475823</v>
      </c>
      <c r="AX89" s="193">
        <f t="shared" si="10"/>
        <v>104</v>
      </c>
    </row>
    <row r="90" spans="1:50" ht="227.25" hidden="1" customHeight="1" x14ac:dyDescent="0.65">
      <c r="A90" s="226"/>
      <c r="B90" s="201"/>
      <c r="C90" s="201"/>
      <c r="D90" s="216"/>
      <c r="E90" s="229"/>
      <c r="F90" s="229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01"/>
      <c r="V90" s="202"/>
      <c r="W90" s="202"/>
      <c r="X90" s="202"/>
      <c r="Y90" s="202"/>
      <c r="Z90" s="203"/>
      <c r="AA90" s="201"/>
      <c r="AB90" s="159"/>
      <c r="AC90" s="126">
        <f t="shared" si="11"/>
        <v>0</v>
      </c>
      <c r="AD90" s="19"/>
      <c r="AE90" s="2"/>
      <c r="AJ90" s="216"/>
      <c r="AQ90" s="192" t="e">
        <f t="shared" si="8"/>
        <v>#DIV/0!</v>
      </c>
      <c r="AV90" s="192" t="e">
        <f t="shared" si="9"/>
        <v>#DIV/0!</v>
      </c>
      <c r="AX90" s="193" t="e">
        <f t="shared" si="10"/>
        <v>#DIV/0!</v>
      </c>
    </row>
    <row r="91" spans="1:50" ht="211.5" x14ac:dyDescent="0.65">
      <c r="A91" s="161" t="s">
        <v>115</v>
      </c>
      <c r="B91" s="159" t="s">
        <v>116</v>
      </c>
      <c r="C91" s="159" t="s">
        <v>29</v>
      </c>
      <c r="D91" s="155">
        <v>0</v>
      </c>
      <c r="E91" s="162">
        <f>E92+E93+E94</f>
        <v>211322.80000000002</v>
      </c>
      <c r="F91" s="162">
        <v>0</v>
      </c>
      <c r="G91" s="155">
        <v>0</v>
      </c>
      <c r="H91" s="155">
        <v>0</v>
      </c>
      <c r="I91" s="155">
        <v>0</v>
      </c>
      <c r="J91" s="155">
        <v>0</v>
      </c>
      <c r="K91" s="155">
        <f>K92+K93+K94</f>
        <v>211322.80000000002</v>
      </c>
      <c r="L91" s="155">
        <v>0</v>
      </c>
      <c r="M91" s="155">
        <v>0</v>
      </c>
      <c r="N91" s="155">
        <v>0</v>
      </c>
      <c r="O91" s="155">
        <v>0</v>
      </c>
      <c r="P91" s="155">
        <f>P92+P93+P94</f>
        <v>172963.30000000002</v>
      </c>
      <c r="Q91" s="155">
        <v>0</v>
      </c>
      <c r="R91" s="155">
        <v>0</v>
      </c>
      <c r="S91" s="155">
        <v>0</v>
      </c>
      <c r="T91" s="155">
        <f>T92+T93+T94</f>
        <v>20834.8</v>
      </c>
      <c r="U91" s="150"/>
      <c r="V91" s="150" t="s">
        <v>25</v>
      </c>
      <c r="W91" s="150" t="s">
        <v>25</v>
      </c>
      <c r="X91" s="150" t="s">
        <v>25</v>
      </c>
      <c r="Y91" s="150"/>
      <c r="Z91" s="150" t="s">
        <v>25</v>
      </c>
      <c r="AA91" s="159"/>
      <c r="AB91" s="159"/>
      <c r="AC91" s="126">
        <f t="shared" si="11"/>
        <v>-38359.5</v>
      </c>
      <c r="AD91" s="19"/>
      <c r="AE91" s="2"/>
      <c r="AJ91" s="216"/>
      <c r="AQ91" s="192" t="e">
        <f t="shared" si="8"/>
        <v>#DIV/0!</v>
      </c>
      <c r="AV91" s="192">
        <f t="shared" si="9"/>
        <v>81.847912293420293</v>
      </c>
      <c r="AX91" s="193" t="e">
        <f t="shared" si="10"/>
        <v>#VALUE!</v>
      </c>
    </row>
    <row r="92" spans="1:50" ht="285" customHeight="1" x14ac:dyDescent="0.65">
      <c r="A92" s="161" t="s">
        <v>117</v>
      </c>
      <c r="B92" s="159" t="s">
        <v>94</v>
      </c>
      <c r="C92" s="159" t="s">
        <v>29</v>
      </c>
      <c r="D92" s="155">
        <v>0</v>
      </c>
      <c r="E92" s="162">
        <v>192271</v>
      </c>
      <c r="F92" s="162">
        <v>0</v>
      </c>
      <c r="G92" s="155">
        <v>0</v>
      </c>
      <c r="H92" s="155">
        <v>0</v>
      </c>
      <c r="I92" s="155">
        <v>0</v>
      </c>
      <c r="J92" s="155">
        <v>0</v>
      </c>
      <c r="K92" s="155">
        <v>192271</v>
      </c>
      <c r="L92" s="155">
        <v>0</v>
      </c>
      <c r="M92" s="155">
        <v>0</v>
      </c>
      <c r="N92" s="155">
        <v>0</v>
      </c>
      <c r="O92" s="155">
        <v>0</v>
      </c>
      <c r="P92" s="155">
        <v>154367.1</v>
      </c>
      <c r="Q92" s="155">
        <v>0</v>
      </c>
      <c r="R92" s="155">
        <v>0</v>
      </c>
      <c r="S92" s="155">
        <v>0</v>
      </c>
      <c r="T92" s="155">
        <v>10471.5</v>
      </c>
      <c r="U92" s="159" t="s">
        <v>497</v>
      </c>
      <c r="V92" s="150"/>
      <c r="W92" s="150" t="s">
        <v>33</v>
      </c>
      <c r="X92" s="157">
        <v>2091</v>
      </c>
      <c r="Y92" s="157">
        <f>351+210</f>
        <v>561</v>
      </c>
      <c r="Z92" s="151" t="s">
        <v>521</v>
      </c>
      <c r="AA92" s="159" t="s">
        <v>294</v>
      </c>
      <c r="AB92" s="158">
        <f>P92-K92</f>
        <v>-37903.899999999994</v>
      </c>
      <c r="AC92" s="126">
        <f t="shared" si="11"/>
        <v>-37903.899999999994</v>
      </c>
      <c r="AD92" s="130"/>
      <c r="AE92" s="25"/>
      <c r="AI92" s="149"/>
      <c r="AJ92" s="135">
        <f>P92-K92</f>
        <v>-37903.899999999994</v>
      </c>
      <c r="AQ92" s="192" t="e">
        <f t="shared" si="8"/>
        <v>#DIV/0!</v>
      </c>
      <c r="AV92" s="192">
        <f t="shared" si="9"/>
        <v>80.286210608984192</v>
      </c>
      <c r="AX92" s="193">
        <f t="shared" si="10"/>
        <v>26.829268292682929</v>
      </c>
    </row>
    <row r="93" spans="1:50" ht="119.25" customHeight="1" x14ac:dyDescent="0.65">
      <c r="A93" s="161" t="s">
        <v>118</v>
      </c>
      <c r="B93" s="159" t="s">
        <v>96</v>
      </c>
      <c r="C93" s="159" t="s">
        <v>29</v>
      </c>
      <c r="D93" s="155">
        <v>0</v>
      </c>
      <c r="E93" s="162">
        <v>17749.7</v>
      </c>
      <c r="F93" s="162">
        <v>0</v>
      </c>
      <c r="G93" s="155">
        <v>0</v>
      </c>
      <c r="H93" s="155">
        <v>0</v>
      </c>
      <c r="I93" s="155">
        <v>0</v>
      </c>
      <c r="J93" s="155">
        <v>0</v>
      </c>
      <c r="K93" s="155">
        <v>17749.7</v>
      </c>
      <c r="L93" s="155">
        <v>0</v>
      </c>
      <c r="M93" s="155">
        <v>0</v>
      </c>
      <c r="N93" s="155">
        <v>0</v>
      </c>
      <c r="O93" s="155">
        <v>0</v>
      </c>
      <c r="P93" s="155">
        <v>17749.7</v>
      </c>
      <c r="Q93" s="155">
        <v>0</v>
      </c>
      <c r="R93" s="155">
        <v>0</v>
      </c>
      <c r="S93" s="155">
        <v>0</v>
      </c>
      <c r="T93" s="155">
        <v>10363.299999999999</v>
      </c>
      <c r="U93" s="159"/>
      <c r="V93" s="150"/>
      <c r="W93" s="151" t="s">
        <v>90</v>
      </c>
      <c r="X93" s="150">
        <v>2</v>
      </c>
      <c r="Y93" s="150">
        <v>0</v>
      </c>
      <c r="Z93" s="151" t="s">
        <v>520</v>
      </c>
      <c r="AA93" s="159" t="s">
        <v>324</v>
      </c>
      <c r="AB93" s="159"/>
      <c r="AC93" s="126">
        <f t="shared" si="11"/>
        <v>0</v>
      </c>
      <c r="AD93" s="130"/>
      <c r="AE93" s="25"/>
      <c r="AJ93" s="135">
        <f>P93-K93</f>
        <v>0</v>
      </c>
      <c r="AQ93" s="192" t="e">
        <f t="shared" si="8"/>
        <v>#DIV/0!</v>
      </c>
      <c r="AV93" s="192">
        <f t="shared" si="9"/>
        <v>100</v>
      </c>
      <c r="AX93" s="193">
        <f t="shared" si="10"/>
        <v>0</v>
      </c>
    </row>
    <row r="94" spans="1:50" ht="408.75" customHeight="1" x14ac:dyDescent="0.65">
      <c r="A94" s="226" t="s">
        <v>119</v>
      </c>
      <c r="B94" s="201" t="s">
        <v>437</v>
      </c>
      <c r="C94" s="201" t="s">
        <v>29</v>
      </c>
      <c r="D94" s="216">
        <v>0</v>
      </c>
      <c r="E94" s="229">
        <v>1302.0999999999999</v>
      </c>
      <c r="F94" s="229">
        <v>0</v>
      </c>
      <c r="G94" s="216">
        <v>0</v>
      </c>
      <c r="H94" s="216">
        <v>0</v>
      </c>
      <c r="I94" s="216">
        <v>0</v>
      </c>
      <c r="J94" s="216">
        <v>0</v>
      </c>
      <c r="K94" s="216">
        <v>1302.0999999999999</v>
      </c>
      <c r="L94" s="216">
        <v>0</v>
      </c>
      <c r="M94" s="216">
        <v>0</v>
      </c>
      <c r="N94" s="216">
        <v>0</v>
      </c>
      <c r="O94" s="216">
        <v>0</v>
      </c>
      <c r="P94" s="216">
        <v>846.5</v>
      </c>
      <c r="Q94" s="216">
        <v>0</v>
      </c>
      <c r="R94" s="216">
        <v>0</v>
      </c>
      <c r="S94" s="216">
        <v>0</v>
      </c>
      <c r="T94" s="216">
        <v>0</v>
      </c>
      <c r="U94" s="206" t="s">
        <v>415</v>
      </c>
      <c r="V94" s="210"/>
      <c r="W94" s="210" t="s">
        <v>33</v>
      </c>
      <c r="X94" s="210">
        <v>186</v>
      </c>
      <c r="Y94" s="210">
        <v>186</v>
      </c>
      <c r="Z94" s="194" t="s">
        <v>34</v>
      </c>
      <c r="AA94" s="199"/>
      <c r="AB94" s="112">
        <f>P94-K94</f>
        <v>-455.59999999999991</v>
      </c>
      <c r="AC94" s="126">
        <f t="shared" si="11"/>
        <v>-455.59999999999991</v>
      </c>
      <c r="AD94" s="19"/>
      <c r="AE94" s="2"/>
      <c r="AJ94" s="216">
        <f>P94-K94</f>
        <v>-455.59999999999991</v>
      </c>
      <c r="AQ94" s="192" t="e">
        <f t="shared" si="8"/>
        <v>#DIV/0!</v>
      </c>
      <c r="AV94" s="192">
        <f t="shared" si="9"/>
        <v>65.010367867291308</v>
      </c>
      <c r="AX94" s="193">
        <f t="shared" si="10"/>
        <v>100</v>
      </c>
    </row>
    <row r="95" spans="1:50" ht="86.25" customHeight="1" x14ac:dyDescent="0.65">
      <c r="A95" s="226"/>
      <c r="B95" s="201"/>
      <c r="C95" s="201"/>
      <c r="D95" s="216"/>
      <c r="E95" s="229"/>
      <c r="F95" s="229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07"/>
      <c r="V95" s="211"/>
      <c r="W95" s="211"/>
      <c r="X95" s="211"/>
      <c r="Y95" s="211"/>
      <c r="Z95" s="196"/>
      <c r="AA95" s="200"/>
      <c r="AB95" s="164"/>
      <c r="AC95" s="126"/>
      <c r="AD95" s="19"/>
      <c r="AE95" s="2"/>
      <c r="AJ95" s="216"/>
      <c r="AQ95" s="192" t="e">
        <f t="shared" si="8"/>
        <v>#DIV/0!</v>
      </c>
      <c r="AV95" s="192" t="e">
        <f t="shared" si="9"/>
        <v>#DIV/0!</v>
      </c>
      <c r="AX95" s="193" t="e">
        <f t="shared" si="10"/>
        <v>#DIV/0!</v>
      </c>
    </row>
    <row r="96" spans="1:50" ht="408.75" customHeight="1" x14ac:dyDescent="0.65">
      <c r="A96" s="226" t="s">
        <v>86</v>
      </c>
      <c r="B96" s="201" t="s">
        <v>374</v>
      </c>
      <c r="C96" s="201" t="s">
        <v>29</v>
      </c>
      <c r="D96" s="216">
        <v>0</v>
      </c>
      <c r="E96" s="216">
        <v>351853.1</v>
      </c>
      <c r="F96" s="216">
        <v>0</v>
      </c>
      <c r="G96" s="216">
        <v>0</v>
      </c>
      <c r="H96" s="216">
        <v>0</v>
      </c>
      <c r="I96" s="216">
        <v>0</v>
      </c>
      <c r="J96" s="216">
        <v>0</v>
      </c>
      <c r="K96" s="216">
        <v>351853.1</v>
      </c>
      <c r="L96" s="216">
        <v>0</v>
      </c>
      <c r="M96" s="216">
        <v>0</v>
      </c>
      <c r="N96" s="216">
        <v>0</v>
      </c>
      <c r="O96" s="216">
        <v>0</v>
      </c>
      <c r="P96" s="216">
        <v>265853.09999999998</v>
      </c>
      <c r="Q96" s="216">
        <v>0</v>
      </c>
      <c r="R96" s="216">
        <v>0</v>
      </c>
      <c r="S96" s="216">
        <v>0</v>
      </c>
      <c r="T96" s="216">
        <v>203719.45</v>
      </c>
      <c r="U96" s="201" t="s">
        <v>416</v>
      </c>
      <c r="V96" s="202"/>
      <c r="W96" s="202" t="s">
        <v>33</v>
      </c>
      <c r="X96" s="218">
        <v>6260</v>
      </c>
      <c r="Y96" s="218">
        <v>4398</v>
      </c>
      <c r="Z96" s="203" t="s">
        <v>520</v>
      </c>
      <c r="AA96" s="197" t="s">
        <v>295</v>
      </c>
      <c r="AB96" s="158">
        <f>P96-K96</f>
        <v>-86000</v>
      </c>
      <c r="AC96" s="126">
        <f t="shared" si="11"/>
        <v>-86000</v>
      </c>
      <c r="AD96" s="19"/>
      <c r="AE96" s="2"/>
      <c r="AJ96" s="216">
        <f>P96-K96</f>
        <v>-86000</v>
      </c>
      <c r="AN96" s="116" t="s">
        <v>313</v>
      </c>
      <c r="AQ96" s="192" t="e">
        <f t="shared" si="8"/>
        <v>#DIV/0!</v>
      </c>
      <c r="AV96" s="192">
        <f t="shared" si="9"/>
        <v>75.557981441686877</v>
      </c>
      <c r="AX96" s="193">
        <f t="shared" si="10"/>
        <v>70.255591054313101</v>
      </c>
    </row>
    <row r="97" spans="1:50" ht="231" customHeight="1" x14ac:dyDescent="0.65">
      <c r="A97" s="226"/>
      <c r="B97" s="201"/>
      <c r="C97" s="201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01"/>
      <c r="V97" s="202"/>
      <c r="W97" s="202"/>
      <c r="X97" s="218"/>
      <c r="Y97" s="218"/>
      <c r="Z97" s="203"/>
      <c r="AA97" s="198"/>
      <c r="AB97" s="159"/>
      <c r="AC97" s="126"/>
      <c r="AD97" s="19"/>
      <c r="AE97" s="2"/>
      <c r="AJ97" s="216"/>
      <c r="AQ97" s="192" t="e">
        <f t="shared" si="8"/>
        <v>#DIV/0!</v>
      </c>
      <c r="AV97" s="192" t="e">
        <f t="shared" si="9"/>
        <v>#DIV/0!</v>
      </c>
      <c r="AX97" s="193" t="e">
        <f t="shared" si="10"/>
        <v>#DIV/0!</v>
      </c>
    </row>
    <row r="98" spans="1:50" ht="292.5" customHeight="1" x14ac:dyDescent="0.65">
      <c r="A98" s="161" t="s">
        <v>38</v>
      </c>
      <c r="B98" s="159" t="s">
        <v>120</v>
      </c>
      <c r="C98" s="159" t="s">
        <v>29</v>
      </c>
      <c r="D98" s="155">
        <v>0</v>
      </c>
      <c r="E98" s="162">
        <v>1015882.6</v>
      </c>
      <c r="F98" s="162">
        <v>0</v>
      </c>
      <c r="G98" s="155">
        <v>0</v>
      </c>
      <c r="H98" s="155">
        <v>0</v>
      </c>
      <c r="I98" s="155">
        <v>0</v>
      </c>
      <c r="J98" s="155">
        <v>0</v>
      </c>
      <c r="K98" s="155">
        <v>1015882.6</v>
      </c>
      <c r="L98" s="155">
        <v>0</v>
      </c>
      <c r="M98" s="155">
        <v>0</v>
      </c>
      <c r="N98" s="155">
        <v>0</v>
      </c>
      <c r="O98" s="155">
        <v>0</v>
      </c>
      <c r="P98" s="155">
        <v>770071.7</v>
      </c>
      <c r="Q98" s="155">
        <v>0</v>
      </c>
      <c r="R98" s="155">
        <v>0</v>
      </c>
      <c r="S98" s="155">
        <v>0</v>
      </c>
      <c r="T98" s="155">
        <v>133.30000000000001</v>
      </c>
      <c r="U98" s="159" t="s">
        <v>498</v>
      </c>
      <c r="V98" s="150"/>
      <c r="W98" s="150" t="s">
        <v>33</v>
      </c>
      <c r="X98" s="157">
        <v>414671</v>
      </c>
      <c r="Y98" s="163">
        <v>378404</v>
      </c>
      <c r="Z98" s="151" t="s">
        <v>520</v>
      </c>
      <c r="AA98" s="159" t="s">
        <v>295</v>
      </c>
      <c r="AB98" s="158">
        <f>P98-K98</f>
        <v>-245810.90000000002</v>
      </c>
      <c r="AC98" s="126">
        <f t="shared" si="11"/>
        <v>-245810.90000000002</v>
      </c>
      <c r="AD98" s="19"/>
      <c r="AE98" s="2"/>
      <c r="AH98" s="12">
        <f>P98/K98*100</f>
        <v>75.803217812766945</v>
      </c>
      <c r="AJ98" s="135">
        <f>P98-K98</f>
        <v>-245810.90000000002</v>
      </c>
      <c r="AN98" s="116" t="s">
        <v>313</v>
      </c>
      <c r="AQ98" s="192" t="e">
        <f t="shared" si="8"/>
        <v>#DIV/0!</v>
      </c>
      <c r="AV98" s="192">
        <f t="shared" si="9"/>
        <v>75.803217812766945</v>
      </c>
      <c r="AX98" s="193">
        <f t="shared" si="10"/>
        <v>91.254030303541839</v>
      </c>
    </row>
    <row r="99" spans="1:50" ht="408.75" customHeight="1" x14ac:dyDescent="0.65">
      <c r="A99" s="226" t="s">
        <v>39</v>
      </c>
      <c r="B99" s="201" t="s">
        <v>376</v>
      </c>
      <c r="C99" s="201" t="s">
        <v>29</v>
      </c>
      <c r="D99" s="216">
        <v>0</v>
      </c>
      <c r="E99" s="216">
        <v>274058.09999999998</v>
      </c>
      <c r="F99" s="216">
        <v>0</v>
      </c>
      <c r="G99" s="216">
        <v>0</v>
      </c>
      <c r="H99" s="216">
        <v>0</v>
      </c>
      <c r="I99" s="216">
        <v>0</v>
      </c>
      <c r="J99" s="216">
        <v>0</v>
      </c>
      <c r="K99" s="216">
        <v>111608.1</v>
      </c>
      <c r="L99" s="216">
        <v>0</v>
      </c>
      <c r="M99" s="216">
        <v>0</v>
      </c>
      <c r="N99" s="216">
        <v>0</v>
      </c>
      <c r="O99" s="216">
        <v>0</v>
      </c>
      <c r="P99" s="216">
        <v>88228.3</v>
      </c>
      <c r="Q99" s="216">
        <v>0</v>
      </c>
      <c r="R99" s="216">
        <v>0</v>
      </c>
      <c r="S99" s="216">
        <v>0</v>
      </c>
      <c r="T99" s="216">
        <v>1233.8</v>
      </c>
      <c r="U99" s="217" t="s">
        <v>499</v>
      </c>
      <c r="V99" s="202"/>
      <c r="W99" s="202" t="s">
        <v>33</v>
      </c>
      <c r="X99" s="218">
        <v>150000</v>
      </c>
      <c r="Y99" s="218">
        <v>82713</v>
      </c>
      <c r="Z99" s="203" t="s">
        <v>520</v>
      </c>
      <c r="AA99" s="197" t="s">
        <v>295</v>
      </c>
      <c r="AB99" s="158">
        <f>P99-K99</f>
        <v>-23379.800000000003</v>
      </c>
      <c r="AC99" s="126">
        <f t="shared" si="11"/>
        <v>-23379.800000000003</v>
      </c>
      <c r="AD99" s="19"/>
      <c r="AE99" s="2"/>
      <c r="AH99" s="12">
        <f>P99/K99*100</f>
        <v>79.051878851086983</v>
      </c>
      <c r="AJ99" s="135">
        <f>P99-K99</f>
        <v>-23379.800000000003</v>
      </c>
      <c r="AN99" s="116" t="s">
        <v>313</v>
      </c>
      <c r="AQ99" s="192" t="e">
        <f t="shared" si="8"/>
        <v>#DIV/0!</v>
      </c>
      <c r="AV99" s="192">
        <f t="shared" si="9"/>
        <v>79.051878851086983</v>
      </c>
      <c r="AX99" s="193">
        <f t="shared" si="10"/>
        <v>55.142000000000003</v>
      </c>
    </row>
    <row r="100" spans="1:50" ht="161.25" customHeight="1" x14ac:dyDescent="0.65">
      <c r="A100" s="226"/>
      <c r="B100" s="201"/>
      <c r="C100" s="201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  <c r="S100" s="216"/>
      <c r="T100" s="216"/>
      <c r="U100" s="217"/>
      <c r="V100" s="202"/>
      <c r="W100" s="202"/>
      <c r="X100" s="218"/>
      <c r="Y100" s="218"/>
      <c r="Z100" s="203"/>
      <c r="AA100" s="198"/>
      <c r="AB100" s="159"/>
      <c r="AC100" s="126"/>
      <c r="AD100" s="19"/>
      <c r="AE100" s="2"/>
      <c r="AH100" s="12"/>
      <c r="AJ100" s="135"/>
      <c r="AQ100" s="192" t="e">
        <f t="shared" si="8"/>
        <v>#DIV/0!</v>
      </c>
      <c r="AV100" s="192" t="e">
        <f t="shared" si="9"/>
        <v>#DIV/0!</v>
      </c>
      <c r="AX100" s="193" t="e">
        <f t="shared" si="10"/>
        <v>#DIV/0!</v>
      </c>
    </row>
    <row r="101" spans="1:50" ht="358.5" customHeight="1" x14ac:dyDescent="0.65">
      <c r="A101" s="161" t="s">
        <v>43</v>
      </c>
      <c r="B101" s="159" t="s">
        <v>438</v>
      </c>
      <c r="C101" s="159" t="s">
        <v>29</v>
      </c>
      <c r="D101" s="155">
        <v>25328.3</v>
      </c>
      <c r="E101" s="155">
        <v>0</v>
      </c>
      <c r="F101" s="155">
        <v>0</v>
      </c>
      <c r="G101" s="155">
        <v>0</v>
      </c>
      <c r="H101" s="155">
        <v>0</v>
      </c>
      <c r="I101" s="155">
        <v>25328.3</v>
      </c>
      <c r="J101" s="155">
        <v>0</v>
      </c>
      <c r="K101" s="155">
        <v>0</v>
      </c>
      <c r="L101" s="155">
        <v>0</v>
      </c>
      <c r="M101" s="155">
        <v>0</v>
      </c>
      <c r="N101" s="155">
        <v>15168.3</v>
      </c>
      <c r="O101" s="155">
        <v>0</v>
      </c>
      <c r="P101" s="155">
        <v>0</v>
      </c>
      <c r="Q101" s="155">
        <v>0</v>
      </c>
      <c r="R101" s="155">
        <v>0</v>
      </c>
      <c r="S101" s="155">
        <v>0</v>
      </c>
      <c r="T101" s="155">
        <v>0</v>
      </c>
      <c r="U101" s="159" t="s">
        <v>417</v>
      </c>
      <c r="V101" s="150"/>
      <c r="W101" s="151" t="s">
        <v>33</v>
      </c>
      <c r="X101" s="150">
        <v>216</v>
      </c>
      <c r="Y101" s="150">
        <v>194</v>
      </c>
      <c r="Z101" s="151" t="s">
        <v>520</v>
      </c>
      <c r="AA101" s="159" t="s">
        <v>295</v>
      </c>
      <c r="AB101" s="158">
        <f>N101-I101</f>
        <v>-10160</v>
      </c>
      <c r="AC101" s="126">
        <f>N101-I101</f>
        <v>-10160</v>
      </c>
      <c r="AD101" s="19"/>
      <c r="AE101" s="2"/>
      <c r="AJ101" s="135">
        <f>N101-I101</f>
        <v>-10160</v>
      </c>
      <c r="AN101" s="116" t="s">
        <v>313</v>
      </c>
      <c r="AQ101" s="192">
        <f t="shared" si="8"/>
        <v>59.886766976070248</v>
      </c>
      <c r="AV101" s="192" t="e">
        <f t="shared" si="9"/>
        <v>#DIV/0!</v>
      </c>
      <c r="AX101" s="193">
        <f t="shared" si="10"/>
        <v>89.81481481481481</v>
      </c>
    </row>
    <row r="102" spans="1:50" ht="408.75" customHeight="1" x14ac:dyDescent="0.65">
      <c r="A102" s="96" t="s">
        <v>121</v>
      </c>
      <c r="B102" s="159" t="s">
        <v>383</v>
      </c>
      <c r="C102" s="158" t="s">
        <v>29</v>
      </c>
      <c r="D102" s="162">
        <v>3774834.3</v>
      </c>
      <c r="E102" s="155">
        <v>0</v>
      </c>
      <c r="F102" s="155">
        <v>0</v>
      </c>
      <c r="G102" s="155">
        <v>0</v>
      </c>
      <c r="H102" s="155">
        <v>0</v>
      </c>
      <c r="I102" s="162">
        <f>3362359.5+412474.8</f>
        <v>3774834.3</v>
      </c>
      <c r="J102" s="155">
        <v>0</v>
      </c>
      <c r="K102" s="155"/>
      <c r="L102" s="155">
        <v>0</v>
      </c>
      <c r="M102" s="155">
        <v>0</v>
      </c>
      <c r="N102" s="155">
        <v>2446431.9</v>
      </c>
      <c r="O102" s="155">
        <v>0</v>
      </c>
      <c r="P102" s="155">
        <v>0</v>
      </c>
      <c r="Q102" s="155">
        <v>0</v>
      </c>
      <c r="R102" s="155">
        <v>0</v>
      </c>
      <c r="S102" s="155">
        <v>0</v>
      </c>
      <c r="T102" s="155">
        <v>312.5</v>
      </c>
      <c r="U102" s="96" t="s">
        <v>500</v>
      </c>
      <c r="V102" s="18"/>
      <c r="W102" s="96" t="s">
        <v>33</v>
      </c>
      <c r="X102" s="157">
        <v>67915</v>
      </c>
      <c r="Y102" s="157">
        <v>81486</v>
      </c>
      <c r="Z102" s="151" t="s">
        <v>34</v>
      </c>
      <c r="AA102" s="159"/>
      <c r="AB102" s="158">
        <f>N102-I102</f>
        <v>-1328402.3999999999</v>
      </c>
      <c r="AC102" s="126">
        <f>N102-I102</f>
        <v>-1328402.3999999999</v>
      </c>
      <c r="AD102" s="19"/>
      <c r="AE102" s="2"/>
      <c r="AJ102" s="136"/>
      <c r="AN102" s="116" t="s">
        <v>313</v>
      </c>
      <c r="AQ102" s="192">
        <f t="shared" si="8"/>
        <v>64.808987774642191</v>
      </c>
      <c r="AV102" s="192" t="e">
        <f t="shared" si="9"/>
        <v>#DIV/0!</v>
      </c>
      <c r="AX102" s="193">
        <f t="shared" si="10"/>
        <v>119.9823308547449</v>
      </c>
    </row>
    <row r="103" spans="1:50" ht="408" customHeight="1" x14ac:dyDescent="0.65">
      <c r="A103" s="203" t="s">
        <v>122</v>
      </c>
      <c r="B103" s="201" t="s">
        <v>439</v>
      </c>
      <c r="C103" s="222" t="s">
        <v>29</v>
      </c>
      <c r="D103" s="229">
        <v>0</v>
      </c>
      <c r="E103" s="229">
        <v>3636601.4</v>
      </c>
      <c r="F103" s="229">
        <v>0</v>
      </c>
      <c r="G103" s="229">
        <v>0</v>
      </c>
      <c r="H103" s="229">
        <v>0</v>
      </c>
      <c r="I103" s="229">
        <v>0</v>
      </c>
      <c r="J103" s="229">
        <v>0</v>
      </c>
      <c r="K103" s="229">
        <v>3451345.7</v>
      </c>
      <c r="L103" s="229">
        <v>0</v>
      </c>
      <c r="M103" s="229">
        <v>0</v>
      </c>
      <c r="N103" s="229">
        <v>0</v>
      </c>
      <c r="O103" s="229">
        <v>0</v>
      </c>
      <c r="P103" s="229">
        <v>2663076.6</v>
      </c>
      <c r="Q103" s="229">
        <v>0</v>
      </c>
      <c r="R103" s="229">
        <v>0</v>
      </c>
      <c r="S103" s="229">
        <v>0</v>
      </c>
      <c r="T103" s="229">
        <v>30821.9</v>
      </c>
      <c r="U103" s="201" t="s">
        <v>501</v>
      </c>
      <c r="V103" s="203"/>
      <c r="W103" s="203" t="s">
        <v>33</v>
      </c>
      <c r="X103" s="231">
        <v>27732</v>
      </c>
      <c r="Y103" s="231">
        <v>32370</v>
      </c>
      <c r="Z103" s="231" t="s">
        <v>34</v>
      </c>
      <c r="AA103" s="194"/>
      <c r="AB103" s="158">
        <f>P103-K103</f>
        <v>-788269.10000000009</v>
      </c>
      <c r="AC103" s="126">
        <f t="shared" si="11"/>
        <v>-788269.10000000009</v>
      </c>
      <c r="AD103" s="19"/>
      <c r="AE103" s="2"/>
      <c r="AJ103" s="216">
        <f>P103-K103</f>
        <v>-788269.10000000009</v>
      </c>
      <c r="AN103" s="116" t="s">
        <v>313</v>
      </c>
      <c r="AQ103" s="192" t="e">
        <f t="shared" si="8"/>
        <v>#DIV/0!</v>
      </c>
      <c r="AV103" s="192">
        <f t="shared" si="9"/>
        <v>77.160529007569423</v>
      </c>
      <c r="AX103" s="193">
        <f t="shared" si="10"/>
        <v>116.72436174816096</v>
      </c>
    </row>
    <row r="104" spans="1:50" ht="409.6" customHeight="1" x14ac:dyDescent="0.65">
      <c r="A104" s="203"/>
      <c r="B104" s="201"/>
      <c r="C104" s="222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01"/>
      <c r="V104" s="203"/>
      <c r="W104" s="203"/>
      <c r="X104" s="231"/>
      <c r="Y104" s="231"/>
      <c r="Z104" s="231"/>
      <c r="AA104" s="195"/>
      <c r="AB104" s="159"/>
      <c r="AC104" s="126"/>
      <c r="AD104" s="19"/>
      <c r="AE104" s="2"/>
      <c r="AJ104" s="216"/>
      <c r="AQ104" s="192" t="e">
        <f t="shared" si="8"/>
        <v>#DIV/0!</v>
      </c>
      <c r="AV104" s="192" t="e">
        <f t="shared" si="9"/>
        <v>#DIV/0!</v>
      </c>
      <c r="AX104" s="193" t="e">
        <f t="shared" si="10"/>
        <v>#DIV/0!</v>
      </c>
    </row>
    <row r="105" spans="1:50" ht="71.25" customHeight="1" x14ac:dyDescent="0.65">
      <c r="A105" s="203"/>
      <c r="B105" s="201"/>
      <c r="C105" s="222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01"/>
      <c r="V105" s="203"/>
      <c r="W105" s="203"/>
      <c r="X105" s="231"/>
      <c r="Y105" s="231"/>
      <c r="Z105" s="231"/>
      <c r="AA105" s="196"/>
      <c r="AB105" s="159"/>
      <c r="AC105" s="126"/>
      <c r="AD105" s="19"/>
      <c r="AE105" s="2"/>
      <c r="AJ105" s="135"/>
      <c r="AQ105" s="192" t="e">
        <f t="shared" si="8"/>
        <v>#DIV/0!</v>
      </c>
      <c r="AV105" s="192" t="e">
        <f t="shared" si="9"/>
        <v>#DIV/0!</v>
      </c>
      <c r="AX105" s="193" t="e">
        <f t="shared" si="10"/>
        <v>#DIV/0!</v>
      </c>
    </row>
    <row r="106" spans="1:50" ht="321" customHeight="1" x14ac:dyDescent="0.65">
      <c r="A106" s="96" t="s">
        <v>123</v>
      </c>
      <c r="B106" s="159" t="s">
        <v>440</v>
      </c>
      <c r="C106" s="158" t="s">
        <v>29</v>
      </c>
      <c r="D106" s="162">
        <v>6219985</v>
      </c>
      <c r="E106" s="162">
        <v>0</v>
      </c>
      <c r="F106" s="162">
        <v>0</v>
      </c>
      <c r="G106" s="155">
        <v>0</v>
      </c>
      <c r="H106" s="155">
        <v>0</v>
      </c>
      <c r="I106" s="155">
        <v>6219985</v>
      </c>
      <c r="J106" s="155">
        <v>0</v>
      </c>
      <c r="K106" s="162">
        <v>0</v>
      </c>
      <c r="L106" s="155">
        <v>0</v>
      </c>
      <c r="M106" s="155">
        <v>0</v>
      </c>
      <c r="N106" s="155">
        <v>3539338.7</v>
      </c>
      <c r="O106" s="155">
        <v>0</v>
      </c>
      <c r="P106" s="155">
        <v>0</v>
      </c>
      <c r="Q106" s="155">
        <v>0</v>
      </c>
      <c r="R106" s="155">
        <v>0</v>
      </c>
      <c r="S106" s="155">
        <v>0</v>
      </c>
      <c r="T106" s="155">
        <v>0</v>
      </c>
      <c r="U106" s="96" t="s">
        <v>418</v>
      </c>
      <c r="V106" s="18"/>
      <c r="W106" s="96" t="s">
        <v>33</v>
      </c>
      <c r="X106" s="157">
        <v>18230</v>
      </c>
      <c r="Y106" s="157">
        <v>41073</v>
      </c>
      <c r="Z106" s="151" t="s">
        <v>34</v>
      </c>
      <c r="AA106" s="159"/>
      <c r="AB106" s="158">
        <f>N106-I106</f>
        <v>-2680646.2999999998</v>
      </c>
      <c r="AC106" s="126">
        <f>N106-I106</f>
        <v>-2680646.2999999998</v>
      </c>
      <c r="AD106" s="19"/>
      <c r="AE106" s="2"/>
      <c r="AJ106" s="135">
        <f>N106-I106</f>
        <v>-2680646.2999999998</v>
      </c>
      <c r="AN106" s="116" t="s">
        <v>313</v>
      </c>
      <c r="AQ106" s="192">
        <f t="shared" si="8"/>
        <v>56.902688672078796</v>
      </c>
      <c r="AV106" s="192" t="e">
        <f t="shared" si="9"/>
        <v>#DIV/0!</v>
      </c>
      <c r="AX106" s="193">
        <f t="shared" si="10"/>
        <v>225.30444322545256</v>
      </c>
    </row>
    <row r="107" spans="1:50" ht="291" customHeight="1" x14ac:dyDescent="0.65">
      <c r="A107" s="96" t="s">
        <v>300</v>
      </c>
      <c r="B107" s="159" t="s">
        <v>301</v>
      </c>
      <c r="C107" s="160" t="s">
        <v>29</v>
      </c>
      <c r="D107" s="162">
        <v>4849257</v>
      </c>
      <c r="E107" s="162">
        <v>1533344.3</v>
      </c>
      <c r="F107" s="155">
        <v>0</v>
      </c>
      <c r="G107" s="155">
        <v>0</v>
      </c>
      <c r="H107" s="155">
        <v>0</v>
      </c>
      <c r="I107" s="155">
        <f>3689671.6+3047348.3</f>
        <v>6737019.9000000004</v>
      </c>
      <c r="J107" s="155">
        <v>0</v>
      </c>
      <c r="K107" s="162">
        <f>1165159.4+962320.6+2000</f>
        <v>2129480</v>
      </c>
      <c r="L107" s="155">
        <v>0</v>
      </c>
      <c r="M107" s="155">
        <v>0</v>
      </c>
      <c r="N107" s="155">
        <v>6323614.2000000002</v>
      </c>
      <c r="O107" s="155">
        <v>0</v>
      </c>
      <c r="P107" s="155">
        <v>1998888.1</v>
      </c>
      <c r="Q107" s="155">
        <v>0</v>
      </c>
      <c r="R107" s="155">
        <v>0</v>
      </c>
      <c r="S107" s="155">
        <v>0</v>
      </c>
      <c r="T107" s="155">
        <v>1957.3</v>
      </c>
      <c r="U107" s="96" t="s">
        <v>502</v>
      </c>
      <c r="V107" s="18"/>
      <c r="W107" s="96" t="s">
        <v>33</v>
      </c>
      <c r="X107" s="157">
        <v>119947</v>
      </c>
      <c r="Y107" s="157">
        <v>193058</v>
      </c>
      <c r="Z107" s="151" t="s">
        <v>34</v>
      </c>
      <c r="AA107" s="159"/>
      <c r="AB107" s="158">
        <f>(P107+N107)-(K107+I107)</f>
        <v>-543997.59999999963</v>
      </c>
      <c r="AC107" s="126">
        <f>(N107+P107)-(I107+K107)</f>
        <v>-543997.59999999963</v>
      </c>
      <c r="AD107" s="19"/>
      <c r="AE107" s="2"/>
      <c r="AJ107" s="135">
        <f>(P107+N107)-(I107+K107)</f>
        <v>-543997.59999999963</v>
      </c>
      <c r="AN107" s="116" t="s">
        <v>313</v>
      </c>
      <c r="AQ107" s="192">
        <f t="shared" si="8"/>
        <v>93.863671086974222</v>
      </c>
      <c r="AV107" s="192">
        <f t="shared" si="9"/>
        <v>93.867427728835224</v>
      </c>
      <c r="AX107" s="193">
        <f t="shared" si="10"/>
        <v>160.95275413307544</v>
      </c>
    </row>
    <row r="108" spans="1:50" ht="223.5" customHeight="1" x14ac:dyDescent="0.65">
      <c r="A108" s="97" t="s">
        <v>45</v>
      </c>
      <c r="B108" s="159" t="s">
        <v>124</v>
      </c>
      <c r="C108" s="160" t="s">
        <v>29</v>
      </c>
      <c r="D108" s="162">
        <v>0</v>
      </c>
      <c r="E108" s="162">
        <v>17241.400000000001</v>
      </c>
      <c r="F108" s="155">
        <v>0</v>
      </c>
      <c r="G108" s="155">
        <v>0</v>
      </c>
      <c r="H108" s="155">
        <v>0</v>
      </c>
      <c r="I108" s="155">
        <v>0</v>
      </c>
      <c r="J108" s="155">
        <v>0</v>
      </c>
      <c r="K108" s="155">
        <v>17241.400000000001</v>
      </c>
      <c r="L108" s="155">
        <v>0</v>
      </c>
      <c r="M108" s="155">
        <v>0</v>
      </c>
      <c r="N108" s="155">
        <v>0</v>
      </c>
      <c r="O108" s="155">
        <v>0</v>
      </c>
      <c r="P108" s="155">
        <v>17241.400000000001</v>
      </c>
      <c r="Q108" s="155">
        <v>0</v>
      </c>
      <c r="R108" s="155">
        <v>0</v>
      </c>
      <c r="S108" s="155">
        <v>0</v>
      </c>
      <c r="T108" s="155">
        <v>0</v>
      </c>
      <c r="U108" s="96"/>
      <c r="V108" s="18"/>
      <c r="W108" s="18" t="s">
        <v>46</v>
      </c>
      <c r="X108" s="150">
        <v>15</v>
      </c>
      <c r="Y108" s="150">
        <v>15</v>
      </c>
      <c r="Z108" s="151" t="s">
        <v>34</v>
      </c>
      <c r="AA108" s="159"/>
      <c r="AB108" s="159"/>
      <c r="AC108" s="126">
        <f t="shared" si="11"/>
        <v>0</v>
      </c>
      <c r="AD108" s="19"/>
      <c r="AE108" s="2"/>
      <c r="AJ108" s="135">
        <f>P108-K108</f>
        <v>0</v>
      </c>
      <c r="AN108" s="116" t="s">
        <v>314</v>
      </c>
      <c r="AQ108" s="192" t="e">
        <f t="shared" si="8"/>
        <v>#DIV/0!</v>
      </c>
      <c r="AV108" s="192">
        <f t="shared" si="9"/>
        <v>100</v>
      </c>
      <c r="AX108" s="193">
        <f t="shared" si="10"/>
        <v>100</v>
      </c>
    </row>
    <row r="109" spans="1:50" ht="298.5" customHeight="1" x14ac:dyDescent="0.65">
      <c r="A109" s="161" t="s">
        <v>47</v>
      </c>
      <c r="B109" s="159" t="s">
        <v>125</v>
      </c>
      <c r="C109" s="160" t="s">
        <v>29</v>
      </c>
      <c r="D109" s="155">
        <v>0</v>
      </c>
      <c r="E109" s="155">
        <v>77241.5</v>
      </c>
      <c r="F109" s="155">
        <v>0</v>
      </c>
      <c r="G109" s="155">
        <v>0</v>
      </c>
      <c r="H109" s="155">
        <v>0</v>
      </c>
      <c r="I109" s="155">
        <v>0</v>
      </c>
      <c r="J109" s="155">
        <v>0</v>
      </c>
      <c r="K109" s="155">
        <v>77241.5</v>
      </c>
      <c r="L109" s="155">
        <v>0</v>
      </c>
      <c r="M109" s="155">
        <v>0</v>
      </c>
      <c r="N109" s="155">
        <v>0</v>
      </c>
      <c r="O109" s="155">
        <v>0</v>
      </c>
      <c r="P109" s="155">
        <v>53000</v>
      </c>
      <c r="Q109" s="155">
        <v>0</v>
      </c>
      <c r="R109" s="155">
        <v>0</v>
      </c>
      <c r="S109" s="155">
        <v>0</v>
      </c>
      <c r="T109" s="155">
        <v>0</v>
      </c>
      <c r="U109" s="158" t="s">
        <v>419</v>
      </c>
      <c r="V109" s="150"/>
      <c r="W109" s="150" t="s">
        <v>33</v>
      </c>
      <c r="X109" s="157">
        <v>247</v>
      </c>
      <c r="Y109" s="157">
        <v>164</v>
      </c>
      <c r="Z109" s="151" t="s">
        <v>520</v>
      </c>
      <c r="AA109" s="159" t="s">
        <v>295</v>
      </c>
      <c r="AB109" s="158">
        <f>P109-K109</f>
        <v>-24241.5</v>
      </c>
      <c r="AC109" s="126">
        <f t="shared" si="11"/>
        <v>-24241.5</v>
      </c>
      <c r="AD109" s="131"/>
      <c r="AE109" s="26"/>
      <c r="AJ109" s="136">
        <f>P109-K109</f>
        <v>-24241.5</v>
      </c>
      <c r="AN109" s="116" t="s">
        <v>315</v>
      </c>
      <c r="AQ109" s="192" t="e">
        <f t="shared" si="8"/>
        <v>#DIV/0!</v>
      </c>
      <c r="AV109" s="192">
        <f t="shared" si="9"/>
        <v>68.615964216127338</v>
      </c>
      <c r="AX109" s="193">
        <f t="shared" si="10"/>
        <v>66.396761133603249</v>
      </c>
    </row>
    <row r="110" spans="1:50" ht="297.75" customHeight="1" x14ac:dyDescent="0.65">
      <c r="A110" s="161" t="s">
        <v>49</v>
      </c>
      <c r="B110" s="159" t="s">
        <v>126</v>
      </c>
      <c r="C110" s="160" t="s">
        <v>29</v>
      </c>
      <c r="D110" s="155">
        <v>0</v>
      </c>
      <c r="E110" s="162">
        <v>1369796.8</v>
      </c>
      <c r="F110" s="162">
        <v>0</v>
      </c>
      <c r="G110" s="155">
        <v>0</v>
      </c>
      <c r="H110" s="155">
        <v>0</v>
      </c>
      <c r="I110" s="155">
        <v>0</v>
      </c>
      <c r="J110" s="155">
        <v>0</v>
      </c>
      <c r="K110" s="162">
        <v>1369796.8</v>
      </c>
      <c r="L110" s="155">
        <v>0</v>
      </c>
      <c r="M110" s="155">
        <v>0</v>
      </c>
      <c r="N110" s="155">
        <v>0</v>
      </c>
      <c r="O110" s="155">
        <v>0</v>
      </c>
      <c r="P110" s="155">
        <v>1035448.7</v>
      </c>
      <c r="Q110" s="155">
        <v>0</v>
      </c>
      <c r="R110" s="155">
        <v>0</v>
      </c>
      <c r="S110" s="155">
        <v>0</v>
      </c>
      <c r="T110" s="155">
        <v>14449.8</v>
      </c>
      <c r="U110" s="159" t="s">
        <v>503</v>
      </c>
      <c r="V110" s="150"/>
      <c r="W110" s="151" t="s">
        <v>33</v>
      </c>
      <c r="X110" s="157">
        <v>263217</v>
      </c>
      <c r="Y110" s="163">
        <v>284470</v>
      </c>
      <c r="Z110" s="151" t="s">
        <v>34</v>
      </c>
      <c r="AA110" s="159"/>
      <c r="AB110" s="158">
        <f>P110-K110</f>
        <v>-334348.10000000009</v>
      </c>
      <c r="AC110" s="126">
        <f t="shared" si="11"/>
        <v>-334348.10000000009</v>
      </c>
      <c r="AD110" s="19"/>
      <c r="AE110" s="2"/>
      <c r="AJ110" s="135">
        <f>P110-K110</f>
        <v>-334348.10000000009</v>
      </c>
      <c r="AN110" s="116" t="s">
        <v>313</v>
      </c>
      <c r="AQ110" s="192" t="e">
        <f t="shared" si="8"/>
        <v>#DIV/0!</v>
      </c>
      <c r="AV110" s="192">
        <f t="shared" si="9"/>
        <v>75.591408886339934</v>
      </c>
      <c r="AX110" s="193">
        <f t="shared" si="10"/>
        <v>108.07432650626669</v>
      </c>
    </row>
    <row r="111" spans="1:50" ht="290.25" customHeight="1" x14ac:dyDescent="0.65">
      <c r="A111" s="151" t="s">
        <v>101</v>
      </c>
      <c r="B111" s="159" t="s">
        <v>127</v>
      </c>
      <c r="C111" s="160" t="s">
        <v>29</v>
      </c>
      <c r="D111" s="162">
        <v>37175.9</v>
      </c>
      <c r="E111" s="155">
        <v>0</v>
      </c>
      <c r="F111" s="155">
        <v>0</v>
      </c>
      <c r="G111" s="155">
        <v>0</v>
      </c>
      <c r="H111" s="155">
        <v>0</v>
      </c>
      <c r="I111" s="162">
        <v>37175.9</v>
      </c>
      <c r="J111" s="155">
        <v>0</v>
      </c>
      <c r="K111" s="155">
        <v>0</v>
      </c>
      <c r="L111" s="155">
        <v>0</v>
      </c>
      <c r="M111" s="155">
        <v>0</v>
      </c>
      <c r="N111" s="155">
        <v>22683.8</v>
      </c>
      <c r="O111" s="155">
        <v>0</v>
      </c>
      <c r="P111" s="155">
        <v>0</v>
      </c>
      <c r="Q111" s="155">
        <v>0</v>
      </c>
      <c r="R111" s="155">
        <v>0</v>
      </c>
      <c r="S111" s="155">
        <v>0</v>
      </c>
      <c r="T111" s="155">
        <v>0</v>
      </c>
      <c r="U111" s="159" t="s">
        <v>504</v>
      </c>
      <c r="V111" s="150"/>
      <c r="W111" s="150" t="s">
        <v>33</v>
      </c>
      <c r="X111" s="157">
        <v>1600</v>
      </c>
      <c r="Y111" s="150">
        <v>1027</v>
      </c>
      <c r="Z111" s="151" t="s">
        <v>520</v>
      </c>
      <c r="AA111" s="159" t="s">
        <v>295</v>
      </c>
      <c r="AB111" s="158">
        <f>N111-I111</f>
        <v>-14492.100000000002</v>
      </c>
      <c r="AC111" s="126">
        <f>N111-I111</f>
        <v>-14492.100000000002</v>
      </c>
      <c r="AD111" s="19"/>
      <c r="AE111" s="2"/>
      <c r="AJ111" s="135">
        <f>N111-I111</f>
        <v>-14492.100000000002</v>
      </c>
      <c r="AN111" s="116" t="s">
        <v>315</v>
      </c>
      <c r="AQ111" s="192">
        <f t="shared" si="8"/>
        <v>61.017487135482931</v>
      </c>
      <c r="AV111" s="192" t="e">
        <f t="shared" si="9"/>
        <v>#DIV/0!</v>
      </c>
      <c r="AX111" s="193">
        <f t="shared" si="10"/>
        <v>64.1875</v>
      </c>
    </row>
    <row r="112" spans="1:50" ht="288" customHeight="1" x14ac:dyDescent="0.65">
      <c r="A112" s="151" t="s">
        <v>105</v>
      </c>
      <c r="B112" s="159" t="s">
        <v>128</v>
      </c>
      <c r="C112" s="160" t="s">
        <v>29</v>
      </c>
      <c r="D112" s="162">
        <v>0</v>
      </c>
      <c r="E112" s="162">
        <v>557208.1</v>
      </c>
      <c r="F112" s="155">
        <v>0</v>
      </c>
      <c r="G112" s="155">
        <v>0</v>
      </c>
      <c r="H112" s="155">
        <v>0</v>
      </c>
      <c r="I112" s="162">
        <v>0</v>
      </c>
      <c r="J112" s="155">
        <v>0</v>
      </c>
      <c r="K112" s="162">
        <v>459408.1</v>
      </c>
      <c r="L112" s="155">
        <v>0</v>
      </c>
      <c r="M112" s="155">
        <v>0</v>
      </c>
      <c r="N112" s="155">
        <v>0</v>
      </c>
      <c r="O112" s="155">
        <v>0</v>
      </c>
      <c r="P112" s="155">
        <v>329859.59999999998</v>
      </c>
      <c r="Q112" s="155">
        <v>0</v>
      </c>
      <c r="R112" s="155">
        <v>0</v>
      </c>
      <c r="S112" s="155">
        <v>0</v>
      </c>
      <c r="T112" s="155">
        <v>1427.8</v>
      </c>
      <c r="U112" s="159" t="s">
        <v>505</v>
      </c>
      <c r="V112" s="150"/>
      <c r="W112" s="150" t="s">
        <v>33</v>
      </c>
      <c r="X112" s="157">
        <v>3983</v>
      </c>
      <c r="Y112" s="157">
        <v>3258</v>
      </c>
      <c r="Z112" s="151" t="s">
        <v>520</v>
      </c>
      <c r="AA112" s="159" t="s">
        <v>295</v>
      </c>
      <c r="AB112" s="158">
        <f>P112-K112</f>
        <v>-129548.5</v>
      </c>
      <c r="AC112" s="126">
        <f t="shared" si="11"/>
        <v>-129548.5</v>
      </c>
      <c r="AD112" s="19"/>
      <c r="AE112" s="2"/>
      <c r="AH112" s="12">
        <f>P112/K112*100</f>
        <v>71.800997849188988</v>
      </c>
      <c r="AJ112" s="135">
        <f>P112-K112</f>
        <v>-129548.5</v>
      </c>
      <c r="AN112" s="116" t="s">
        <v>306</v>
      </c>
      <c r="AQ112" s="192" t="e">
        <f t="shared" si="8"/>
        <v>#DIV/0!</v>
      </c>
      <c r="AV112" s="192">
        <f t="shared" si="9"/>
        <v>71.800997849188988</v>
      </c>
      <c r="AX112" s="193">
        <f t="shared" si="10"/>
        <v>81.797639969871966</v>
      </c>
    </row>
    <row r="113" spans="1:50" ht="214.5" customHeight="1" x14ac:dyDescent="0.65">
      <c r="A113" s="151" t="s">
        <v>107</v>
      </c>
      <c r="B113" s="159" t="s">
        <v>529</v>
      </c>
      <c r="C113" s="160" t="s">
        <v>29</v>
      </c>
      <c r="D113" s="162">
        <v>0</v>
      </c>
      <c r="E113" s="162">
        <v>203.5</v>
      </c>
      <c r="F113" s="155">
        <v>0</v>
      </c>
      <c r="G113" s="155">
        <v>0</v>
      </c>
      <c r="H113" s="155">
        <v>0</v>
      </c>
      <c r="I113" s="162">
        <v>0</v>
      </c>
      <c r="J113" s="155">
        <v>0</v>
      </c>
      <c r="K113" s="162">
        <v>203.5</v>
      </c>
      <c r="L113" s="155">
        <v>0</v>
      </c>
      <c r="M113" s="155">
        <v>0</v>
      </c>
      <c r="N113" s="155">
        <v>0</v>
      </c>
      <c r="O113" s="155">
        <v>0</v>
      </c>
      <c r="P113" s="155">
        <v>203.5</v>
      </c>
      <c r="Q113" s="155">
        <v>0</v>
      </c>
      <c r="R113" s="155">
        <v>0</v>
      </c>
      <c r="S113" s="155">
        <v>0</v>
      </c>
      <c r="T113" s="155">
        <v>203.5</v>
      </c>
      <c r="U113" s="159"/>
      <c r="V113" s="150"/>
      <c r="W113" s="150" t="s">
        <v>129</v>
      </c>
      <c r="X113" s="157">
        <v>6950</v>
      </c>
      <c r="Y113" s="157">
        <v>6950</v>
      </c>
      <c r="Z113" s="151" t="s">
        <v>34</v>
      </c>
      <c r="AA113" s="159"/>
      <c r="AB113" s="158">
        <f t="shared" ref="AB113:AB114" si="12">P113-K113</f>
        <v>0</v>
      </c>
      <c r="AC113" s="126">
        <f t="shared" si="11"/>
        <v>0</v>
      </c>
      <c r="AD113" s="19"/>
      <c r="AE113" s="2"/>
      <c r="AJ113" s="135"/>
      <c r="AN113" s="116" t="s">
        <v>314</v>
      </c>
      <c r="AQ113" s="192" t="e">
        <f t="shared" si="8"/>
        <v>#DIV/0!</v>
      </c>
      <c r="AV113" s="192">
        <f t="shared" si="9"/>
        <v>100</v>
      </c>
      <c r="AX113" s="193">
        <f t="shared" si="10"/>
        <v>100</v>
      </c>
    </row>
    <row r="114" spans="1:50" ht="409.6" customHeight="1" x14ac:dyDescent="0.65">
      <c r="A114" s="226" t="s">
        <v>50</v>
      </c>
      <c r="B114" s="201" t="s">
        <v>375</v>
      </c>
      <c r="C114" s="225" t="s">
        <v>29</v>
      </c>
      <c r="D114" s="216">
        <v>0</v>
      </c>
      <c r="E114" s="229">
        <v>1938216.4</v>
      </c>
      <c r="F114" s="229">
        <v>0</v>
      </c>
      <c r="G114" s="216">
        <v>0</v>
      </c>
      <c r="H114" s="216">
        <v>0</v>
      </c>
      <c r="I114" s="216">
        <v>0</v>
      </c>
      <c r="J114" s="216">
        <v>0</v>
      </c>
      <c r="K114" s="216">
        <v>1938216.4</v>
      </c>
      <c r="L114" s="216">
        <v>0</v>
      </c>
      <c r="M114" s="216">
        <v>0</v>
      </c>
      <c r="N114" s="216">
        <v>0</v>
      </c>
      <c r="O114" s="216">
        <v>0</v>
      </c>
      <c r="P114" s="216">
        <v>1431487.3</v>
      </c>
      <c r="Q114" s="216">
        <v>0</v>
      </c>
      <c r="R114" s="216">
        <v>0</v>
      </c>
      <c r="S114" s="216">
        <v>0</v>
      </c>
      <c r="T114" s="216">
        <v>0</v>
      </c>
      <c r="U114" s="201" t="s">
        <v>506</v>
      </c>
      <c r="V114" s="202"/>
      <c r="W114" s="202" t="s">
        <v>33</v>
      </c>
      <c r="X114" s="231">
        <v>13490</v>
      </c>
      <c r="Y114" s="218">
        <v>13234</v>
      </c>
      <c r="Z114" s="203" t="s">
        <v>520</v>
      </c>
      <c r="AA114" s="197" t="s">
        <v>295</v>
      </c>
      <c r="AB114" s="158">
        <f t="shared" si="12"/>
        <v>-506729.09999999986</v>
      </c>
      <c r="AC114" s="126">
        <f t="shared" si="11"/>
        <v>-506729.09999999986</v>
      </c>
      <c r="AD114" s="19"/>
      <c r="AE114" s="21"/>
      <c r="AH114" s="12">
        <f>P114/K114*100</f>
        <v>73.85590690492559</v>
      </c>
      <c r="AJ114" s="216">
        <f>P114-K114</f>
        <v>-506729.09999999986</v>
      </c>
      <c r="AN114" s="116" t="s">
        <v>315</v>
      </c>
      <c r="AQ114" s="192" t="e">
        <f t="shared" si="8"/>
        <v>#DIV/0!</v>
      </c>
      <c r="AV114" s="192">
        <f t="shared" si="9"/>
        <v>73.85590690492559</v>
      </c>
      <c r="AX114" s="193">
        <f t="shared" si="10"/>
        <v>98.102297998517415</v>
      </c>
    </row>
    <row r="115" spans="1:50" ht="264.75" customHeight="1" x14ac:dyDescent="0.65">
      <c r="A115" s="226"/>
      <c r="B115" s="201"/>
      <c r="C115" s="225"/>
      <c r="D115" s="216"/>
      <c r="E115" s="229"/>
      <c r="F115" s="229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01"/>
      <c r="V115" s="202"/>
      <c r="W115" s="202"/>
      <c r="X115" s="231"/>
      <c r="Y115" s="218"/>
      <c r="Z115" s="203"/>
      <c r="AA115" s="198"/>
      <c r="AB115" s="159"/>
      <c r="AC115" s="126"/>
      <c r="AD115" s="19"/>
      <c r="AE115" s="2"/>
      <c r="AH115" s="12"/>
      <c r="AJ115" s="216"/>
      <c r="AQ115" s="192" t="e">
        <f t="shared" si="8"/>
        <v>#DIV/0!</v>
      </c>
      <c r="AV115" s="192" t="e">
        <f t="shared" si="9"/>
        <v>#DIV/0!</v>
      </c>
      <c r="AX115" s="193" t="e">
        <f t="shared" si="10"/>
        <v>#DIV/0!</v>
      </c>
    </row>
    <row r="116" spans="1:50" ht="409.5" customHeight="1" x14ac:dyDescent="0.65">
      <c r="A116" s="226" t="s">
        <v>51</v>
      </c>
      <c r="B116" s="201" t="s">
        <v>441</v>
      </c>
      <c r="C116" s="225" t="s">
        <v>29</v>
      </c>
      <c r="D116" s="216">
        <v>0</v>
      </c>
      <c r="E116" s="229">
        <v>1667117.6</v>
      </c>
      <c r="F116" s="229">
        <v>0</v>
      </c>
      <c r="G116" s="216">
        <v>0</v>
      </c>
      <c r="H116" s="216">
        <v>0</v>
      </c>
      <c r="I116" s="216">
        <v>0</v>
      </c>
      <c r="J116" s="216">
        <v>0</v>
      </c>
      <c r="K116" s="216">
        <v>1667117.6</v>
      </c>
      <c r="L116" s="216">
        <v>0</v>
      </c>
      <c r="M116" s="216">
        <v>0</v>
      </c>
      <c r="N116" s="216">
        <v>0</v>
      </c>
      <c r="O116" s="216">
        <v>0</v>
      </c>
      <c r="P116" s="216">
        <v>1138538.1000000001</v>
      </c>
      <c r="Q116" s="216">
        <v>0</v>
      </c>
      <c r="R116" s="216">
        <v>0</v>
      </c>
      <c r="S116" s="216">
        <v>0</v>
      </c>
      <c r="T116" s="216">
        <v>0</v>
      </c>
      <c r="U116" s="201" t="s">
        <v>507</v>
      </c>
      <c r="V116" s="202"/>
      <c r="W116" s="202" t="s">
        <v>33</v>
      </c>
      <c r="X116" s="218">
        <v>7959</v>
      </c>
      <c r="Y116" s="218">
        <v>7917</v>
      </c>
      <c r="Z116" s="203" t="s">
        <v>520</v>
      </c>
      <c r="AA116" s="194"/>
      <c r="AB116" s="158">
        <f>P116-K116</f>
        <v>-528579.5</v>
      </c>
      <c r="AC116" s="126">
        <f t="shared" si="11"/>
        <v>-528579.5</v>
      </c>
      <c r="AD116" s="19"/>
      <c r="AE116" s="2"/>
      <c r="AH116" s="12">
        <f>P116/K116*100</f>
        <v>68.293808427191934</v>
      </c>
      <c r="AJ116" s="216">
        <f>P116-K116</f>
        <v>-528579.5</v>
      </c>
      <c r="AN116" s="116" t="s">
        <v>315</v>
      </c>
      <c r="AQ116" s="192" t="e">
        <f t="shared" si="8"/>
        <v>#DIV/0!</v>
      </c>
      <c r="AV116" s="192">
        <f t="shared" si="9"/>
        <v>68.293808427191934</v>
      </c>
      <c r="AX116" s="193">
        <f t="shared" si="10"/>
        <v>99.47229551451187</v>
      </c>
    </row>
    <row r="117" spans="1:50" ht="123.75" customHeight="1" x14ac:dyDescent="0.65">
      <c r="A117" s="226"/>
      <c r="B117" s="201"/>
      <c r="C117" s="225"/>
      <c r="D117" s="216"/>
      <c r="E117" s="229"/>
      <c r="F117" s="229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01"/>
      <c r="V117" s="202"/>
      <c r="W117" s="202"/>
      <c r="X117" s="218"/>
      <c r="Y117" s="218"/>
      <c r="Z117" s="203"/>
      <c r="AA117" s="196"/>
      <c r="AB117" s="159"/>
      <c r="AC117" s="126"/>
      <c r="AD117" s="19"/>
      <c r="AE117" s="2"/>
      <c r="AH117" s="12"/>
      <c r="AJ117" s="216"/>
      <c r="AQ117" s="192" t="e">
        <f t="shared" si="8"/>
        <v>#DIV/0!</v>
      </c>
      <c r="AV117" s="192" t="e">
        <f t="shared" si="9"/>
        <v>#DIV/0!</v>
      </c>
      <c r="AX117" s="193" t="e">
        <f t="shared" si="10"/>
        <v>#DIV/0!</v>
      </c>
    </row>
    <row r="118" spans="1:50" ht="409.5" customHeight="1" x14ac:dyDescent="0.65">
      <c r="A118" s="226" t="s">
        <v>130</v>
      </c>
      <c r="B118" s="201" t="s">
        <v>442</v>
      </c>
      <c r="C118" s="225" t="s">
        <v>29</v>
      </c>
      <c r="D118" s="216">
        <v>0</v>
      </c>
      <c r="E118" s="229">
        <v>15982.7</v>
      </c>
      <c r="F118" s="229">
        <v>0</v>
      </c>
      <c r="G118" s="216">
        <v>0</v>
      </c>
      <c r="H118" s="216">
        <v>0</v>
      </c>
      <c r="I118" s="216">
        <v>0</v>
      </c>
      <c r="J118" s="216">
        <v>0</v>
      </c>
      <c r="K118" s="216">
        <v>15982.7</v>
      </c>
      <c r="L118" s="216">
        <v>0</v>
      </c>
      <c r="M118" s="216">
        <v>0</v>
      </c>
      <c r="N118" s="216">
        <v>0</v>
      </c>
      <c r="O118" s="216">
        <v>0</v>
      </c>
      <c r="P118" s="216">
        <v>6782</v>
      </c>
      <c r="Q118" s="216">
        <v>0</v>
      </c>
      <c r="R118" s="216">
        <v>0</v>
      </c>
      <c r="S118" s="216">
        <v>0</v>
      </c>
      <c r="T118" s="216">
        <v>0</v>
      </c>
      <c r="U118" s="201" t="s">
        <v>420</v>
      </c>
      <c r="V118" s="202"/>
      <c r="W118" s="202" t="s">
        <v>33</v>
      </c>
      <c r="X118" s="202">
        <v>118</v>
      </c>
      <c r="Y118" s="202">
        <v>71</v>
      </c>
      <c r="Z118" s="203" t="s">
        <v>520</v>
      </c>
      <c r="AA118" s="197" t="s">
        <v>295</v>
      </c>
      <c r="AB118" s="158">
        <f>P118-K118</f>
        <v>-9200.7000000000007</v>
      </c>
      <c r="AC118" s="126">
        <f t="shared" si="11"/>
        <v>-9200.7000000000007</v>
      </c>
      <c r="AD118" s="129"/>
      <c r="AE118" s="23"/>
      <c r="AJ118" s="216">
        <f>P118-K118</f>
        <v>-9200.7000000000007</v>
      </c>
      <c r="AN118" s="116" t="s">
        <v>315</v>
      </c>
      <c r="AQ118" s="192" t="e">
        <f t="shared" si="8"/>
        <v>#DIV/0!</v>
      </c>
      <c r="AV118" s="192">
        <f t="shared" si="9"/>
        <v>42.43338109330714</v>
      </c>
      <c r="AX118" s="193">
        <f t="shared" si="10"/>
        <v>60.169491525423723</v>
      </c>
    </row>
    <row r="119" spans="1:50" ht="156.75" customHeight="1" x14ac:dyDescent="0.65">
      <c r="A119" s="226"/>
      <c r="B119" s="201"/>
      <c r="C119" s="225"/>
      <c r="D119" s="216"/>
      <c r="E119" s="229"/>
      <c r="F119" s="229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01"/>
      <c r="V119" s="202"/>
      <c r="W119" s="202"/>
      <c r="X119" s="202"/>
      <c r="Y119" s="202"/>
      <c r="Z119" s="203"/>
      <c r="AA119" s="198"/>
      <c r="AB119" s="159"/>
      <c r="AC119" s="126"/>
      <c r="AD119" s="129"/>
      <c r="AE119" s="23"/>
      <c r="AJ119" s="216"/>
      <c r="AQ119" s="192" t="e">
        <f t="shared" si="8"/>
        <v>#DIV/0!</v>
      </c>
      <c r="AV119" s="192" t="e">
        <f t="shared" si="9"/>
        <v>#DIV/0!</v>
      </c>
      <c r="AX119" s="193" t="e">
        <f t="shared" si="10"/>
        <v>#DIV/0!</v>
      </c>
    </row>
    <row r="120" spans="1:50" ht="408.75" customHeight="1" x14ac:dyDescent="0.65">
      <c r="A120" s="226" t="s">
        <v>131</v>
      </c>
      <c r="B120" s="201" t="s">
        <v>384</v>
      </c>
      <c r="C120" s="225" t="s">
        <v>29</v>
      </c>
      <c r="D120" s="216">
        <v>0</v>
      </c>
      <c r="E120" s="216">
        <v>20309.3</v>
      </c>
      <c r="F120" s="216">
        <v>0</v>
      </c>
      <c r="G120" s="216">
        <v>0</v>
      </c>
      <c r="H120" s="216">
        <v>0</v>
      </c>
      <c r="I120" s="216">
        <v>0</v>
      </c>
      <c r="J120" s="216">
        <v>0</v>
      </c>
      <c r="K120" s="216">
        <v>20309.3</v>
      </c>
      <c r="L120" s="216">
        <v>0</v>
      </c>
      <c r="M120" s="216">
        <v>0</v>
      </c>
      <c r="N120" s="216">
        <v>0</v>
      </c>
      <c r="O120" s="216">
        <v>0</v>
      </c>
      <c r="P120" s="216">
        <v>7753.1</v>
      </c>
      <c r="Q120" s="216">
        <v>0</v>
      </c>
      <c r="R120" s="216">
        <v>0</v>
      </c>
      <c r="S120" s="216">
        <v>0</v>
      </c>
      <c r="T120" s="216">
        <v>0</v>
      </c>
      <c r="U120" s="201" t="s">
        <v>508</v>
      </c>
      <c r="V120" s="202"/>
      <c r="W120" s="202" t="s">
        <v>33</v>
      </c>
      <c r="X120" s="202">
        <v>122</v>
      </c>
      <c r="Y120" s="202">
        <v>78</v>
      </c>
      <c r="Z120" s="203" t="s">
        <v>520</v>
      </c>
      <c r="AA120" s="197" t="s">
        <v>295</v>
      </c>
      <c r="AB120" s="158">
        <f>P120-K120</f>
        <v>-12556.199999999999</v>
      </c>
      <c r="AC120" s="126">
        <f t="shared" si="11"/>
        <v>-12556.199999999999</v>
      </c>
      <c r="AD120" s="19"/>
      <c r="AE120" s="2"/>
      <c r="AH120" s="12">
        <f>P120/K120*100</f>
        <v>38.17512174225601</v>
      </c>
      <c r="AI120" s="12">
        <f>P120-K120</f>
        <v>-12556.199999999999</v>
      </c>
      <c r="AJ120" s="216">
        <f>P120-K120</f>
        <v>-12556.199999999999</v>
      </c>
      <c r="AN120" s="116" t="s">
        <v>315</v>
      </c>
      <c r="AQ120" s="192" t="e">
        <f t="shared" si="8"/>
        <v>#DIV/0!</v>
      </c>
      <c r="AV120" s="192">
        <f t="shared" si="9"/>
        <v>38.17512174225601</v>
      </c>
      <c r="AX120" s="193">
        <f t="shared" si="10"/>
        <v>63.934426229508205</v>
      </c>
    </row>
    <row r="121" spans="1:50" ht="193.5" customHeight="1" x14ac:dyDescent="0.65">
      <c r="A121" s="226"/>
      <c r="B121" s="201"/>
      <c r="C121" s="225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01"/>
      <c r="V121" s="202"/>
      <c r="W121" s="202"/>
      <c r="X121" s="202"/>
      <c r="Y121" s="202"/>
      <c r="Z121" s="203"/>
      <c r="AA121" s="198"/>
      <c r="AB121" s="159"/>
      <c r="AC121" s="126"/>
      <c r="AD121" s="19"/>
      <c r="AE121" s="2"/>
      <c r="AH121" s="12"/>
      <c r="AI121" s="12"/>
      <c r="AJ121" s="216"/>
      <c r="AQ121" s="192" t="e">
        <f t="shared" si="8"/>
        <v>#DIV/0!</v>
      </c>
      <c r="AV121" s="192" t="e">
        <f t="shared" si="9"/>
        <v>#DIV/0!</v>
      </c>
      <c r="AX121" s="193" t="e">
        <f t="shared" si="10"/>
        <v>#DIV/0!</v>
      </c>
    </row>
    <row r="122" spans="1:50" ht="409.6" customHeight="1" x14ac:dyDescent="0.65">
      <c r="A122" s="226" t="s">
        <v>132</v>
      </c>
      <c r="B122" s="201" t="s">
        <v>304</v>
      </c>
      <c r="C122" s="225" t="s">
        <v>29</v>
      </c>
      <c r="D122" s="216">
        <v>0</v>
      </c>
      <c r="E122" s="229">
        <v>389814.9</v>
      </c>
      <c r="F122" s="229">
        <v>0</v>
      </c>
      <c r="G122" s="216">
        <v>0</v>
      </c>
      <c r="H122" s="216">
        <v>0</v>
      </c>
      <c r="I122" s="216">
        <v>0</v>
      </c>
      <c r="J122" s="216">
        <v>0</v>
      </c>
      <c r="K122" s="216">
        <v>389814.9</v>
      </c>
      <c r="L122" s="216">
        <v>0</v>
      </c>
      <c r="M122" s="216">
        <v>0</v>
      </c>
      <c r="N122" s="216">
        <v>0</v>
      </c>
      <c r="O122" s="216">
        <v>0</v>
      </c>
      <c r="P122" s="216">
        <v>241991.6</v>
      </c>
      <c r="Q122" s="216">
        <v>0</v>
      </c>
      <c r="R122" s="216">
        <v>0</v>
      </c>
      <c r="S122" s="216">
        <v>0</v>
      </c>
      <c r="T122" s="216">
        <v>0</v>
      </c>
      <c r="U122" s="222" t="s">
        <v>509</v>
      </c>
      <c r="V122" s="202"/>
      <c r="W122" s="202" t="s">
        <v>33</v>
      </c>
      <c r="X122" s="202">
        <v>525</v>
      </c>
      <c r="Y122" s="202">
        <v>512</v>
      </c>
      <c r="Z122" s="203" t="s">
        <v>520</v>
      </c>
      <c r="AA122" s="201" t="s">
        <v>293</v>
      </c>
      <c r="AB122" s="158">
        <f>P122-K122</f>
        <v>-147823.30000000002</v>
      </c>
      <c r="AC122" s="126">
        <f t="shared" si="11"/>
        <v>-147823.30000000002</v>
      </c>
      <c r="AD122" s="19"/>
      <c r="AE122" s="2"/>
      <c r="AJ122" s="135">
        <f>P122-K122</f>
        <v>-147823.30000000002</v>
      </c>
      <c r="AN122" s="116" t="s">
        <v>315</v>
      </c>
      <c r="AQ122" s="192" t="e">
        <f t="shared" si="8"/>
        <v>#DIV/0!</v>
      </c>
      <c r="AV122" s="192">
        <f t="shared" si="9"/>
        <v>62.078591659785197</v>
      </c>
      <c r="AX122" s="193">
        <f t="shared" si="10"/>
        <v>97.523809523809518</v>
      </c>
    </row>
    <row r="123" spans="1:50" ht="344.25" customHeight="1" x14ac:dyDescent="0.65">
      <c r="A123" s="226"/>
      <c r="B123" s="201"/>
      <c r="C123" s="225"/>
      <c r="D123" s="216"/>
      <c r="E123" s="229"/>
      <c r="F123" s="229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22"/>
      <c r="V123" s="202"/>
      <c r="W123" s="202"/>
      <c r="X123" s="202"/>
      <c r="Y123" s="202"/>
      <c r="Z123" s="203"/>
      <c r="AA123" s="201"/>
      <c r="AB123" s="159"/>
      <c r="AC123" s="126">
        <f t="shared" si="11"/>
        <v>0</v>
      </c>
      <c r="AD123" s="19"/>
      <c r="AE123" s="2"/>
      <c r="AJ123" s="135"/>
      <c r="AQ123" s="192" t="e">
        <f t="shared" si="8"/>
        <v>#DIV/0!</v>
      </c>
      <c r="AV123" s="192" t="e">
        <f t="shared" si="9"/>
        <v>#DIV/0!</v>
      </c>
      <c r="AX123" s="193" t="e">
        <f t="shared" si="10"/>
        <v>#DIV/0!</v>
      </c>
    </row>
    <row r="124" spans="1:50" ht="408.75" customHeight="1" x14ac:dyDescent="0.65">
      <c r="A124" s="226" t="s">
        <v>133</v>
      </c>
      <c r="B124" s="201" t="s">
        <v>443</v>
      </c>
      <c r="C124" s="225" t="s">
        <v>29</v>
      </c>
      <c r="D124" s="216">
        <v>0</v>
      </c>
      <c r="E124" s="229">
        <v>28195.200000000001</v>
      </c>
      <c r="F124" s="229">
        <v>0</v>
      </c>
      <c r="G124" s="216">
        <v>0</v>
      </c>
      <c r="H124" s="216">
        <v>0</v>
      </c>
      <c r="I124" s="216">
        <v>0</v>
      </c>
      <c r="J124" s="216">
        <v>0</v>
      </c>
      <c r="K124" s="216">
        <v>28195.200000000001</v>
      </c>
      <c r="L124" s="216">
        <v>0</v>
      </c>
      <c r="M124" s="216">
        <v>0</v>
      </c>
      <c r="N124" s="216">
        <v>0</v>
      </c>
      <c r="O124" s="216">
        <v>0</v>
      </c>
      <c r="P124" s="233">
        <v>17632.900000000001</v>
      </c>
      <c r="Q124" s="216">
        <v>0</v>
      </c>
      <c r="R124" s="216">
        <v>0</v>
      </c>
      <c r="S124" s="216">
        <v>0</v>
      </c>
      <c r="T124" s="216">
        <v>0</v>
      </c>
      <c r="U124" s="217" t="s">
        <v>510</v>
      </c>
      <c r="V124" s="202"/>
      <c r="W124" s="202" t="s">
        <v>33</v>
      </c>
      <c r="X124" s="202">
        <v>44</v>
      </c>
      <c r="Y124" s="202">
        <v>44</v>
      </c>
      <c r="Z124" s="203" t="s">
        <v>34</v>
      </c>
      <c r="AA124" s="232"/>
      <c r="AB124" s="112">
        <f>P124-K124</f>
        <v>-10562.3</v>
      </c>
      <c r="AC124" s="126">
        <f t="shared" si="11"/>
        <v>-10562.3</v>
      </c>
      <c r="AD124" s="19"/>
      <c r="AE124" s="2"/>
      <c r="AJ124" s="135">
        <f>P124-K124</f>
        <v>-10562.3</v>
      </c>
      <c r="AN124" s="116" t="s">
        <v>316</v>
      </c>
      <c r="AQ124" s="192" t="e">
        <f t="shared" si="8"/>
        <v>#DIV/0!</v>
      </c>
      <c r="AV124" s="192">
        <f t="shared" si="9"/>
        <v>62.538659062535473</v>
      </c>
      <c r="AX124" s="193">
        <f t="shared" si="10"/>
        <v>100</v>
      </c>
    </row>
    <row r="125" spans="1:50" ht="57" customHeight="1" x14ac:dyDescent="0.65">
      <c r="A125" s="226"/>
      <c r="B125" s="201"/>
      <c r="C125" s="225"/>
      <c r="D125" s="216"/>
      <c r="E125" s="229"/>
      <c r="F125" s="229"/>
      <c r="G125" s="216"/>
      <c r="H125" s="216"/>
      <c r="I125" s="216"/>
      <c r="J125" s="216"/>
      <c r="K125" s="216"/>
      <c r="L125" s="216"/>
      <c r="M125" s="216"/>
      <c r="N125" s="216"/>
      <c r="O125" s="216"/>
      <c r="P125" s="233"/>
      <c r="Q125" s="216"/>
      <c r="R125" s="216"/>
      <c r="S125" s="216"/>
      <c r="T125" s="216"/>
      <c r="U125" s="217"/>
      <c r="V125" s="202"/>
      <c r="W125" s="202"/>
      <c r="X125" s="202"/>
      <c r="Y125" s="202"/>
      <c r="Z125" s="203"/>
      <c r="AA125" s="232"/>
      <c r="AB125" s="164"/>
      <c r="AC125" s="126">
        <f t="shared" si="11"/>
        <v>0</v>
      </c>
      <c r="AD125" s="19"/>
      <c r="AE125" s="2"/>
      <c r="AJ125" s="135"/>
      <c r="AQ125" s="192" t="e">
        <f t="shared" si="8"/>
        <v>#DIV/0!</v>
      </c>
      <c r="AV125" s="192" t="e">
        <f t="shared" si="9"/>
        <v>#DIV/0!</v>
      </c>
      <c r="AX125" s="193" t="e">
        <f t="shared" si="10"/>
        <v>#DIV/0!</v>
      </c>
    </row>
    <row r="126" spans="1:50" ht="408.75" customHeight="1" x14ac:dyDescent="0.65">
      <c r="A126" s="161" t="s">
        <v>134</v>
      </c>
      <c r="B126" s="159" t="s">
        <v>444</v>
      </c>
      <c r="C126" s="160" t="s">
        <v>29</v>
      </c>
      <c r="D126" s="155">
        <v>0</v>
      </c>
      <c r="E126" s="155">
        <v>183274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183274</v>
      </c>
      <c r="L126" s="155">
        <v>0</v>
      </c>
      <c r="M126" s="155">
        <v>0</v>
      </c>
      <c r="N126" s="155">
        <v>0</v>
      </c>
      <c r="O126" s="155">
        <v>0</v>
      </c>
      <c r="P126" s="155">
        <v>116845.2</v>
      </c>
      <c r="Q126" s="155">
        <v>0</v>
      </c>
      <c r="R126" s="155">
        <v>0</v>
      </c>
      <c r="S126" s="155">
        <v>0</v>
      </c>
      <c r="T126" s="155">
        <v>0</v>
      </c>
      <c r="U126" s="159" t="s">
        <v>511</v>
      </c>
      <c r="V126" s="150"/>
      <c r="W126" s="150" t="s">
        <v>33</v>
      </c>
      <c r="X126" s="150">
        <v>212</v>
      </c>
      <c r="Y126" s="150">
        <v>208</v>
      </c>
      <c r="Z126" s="151" t="s">
        <v>520</v>
      </c>
      <c r="AA126" s="159" t="s">
        <v>522</v>
      </c>
      <c r="AB126" s="158">
        <f>P126-K126</f>
        <v>-66428.800000000003</v>
      </c>
      <c r="AC126" s="126">
        <f t="shared" si="11"/>
        <v>-66428.800000000003</v>
      </c>
      <c r="AD126" s="19"/>
      <c r="AE126" s="2"/>
      <c r="AJ126" s="135">
        <f>P126-K126</f>
        <v>-66428.800000000003</v>
      </c>
      <c r="AN126" s="116" t="s">
        <v>317</v>
      </c>
      <c r="AQ126" s="192" t="e">
        <f t="shared" si="8"/>
        <v>#DIV/0!</v>
      </c>
      <c r="AV126" s="192">
        <f t="shared" si="9"/>
        <v>63.754378689830524</v>
      </c>
      <c r="AX126" s="193">
        <f t="shared" si="10"/>
        <v>98.113207547169807</v>
      </c>
    </row>
    <row r="127" spans="1:50" ht="408.75" customHeight="1" x14ac:dyDescent="0.65">
      <c r="A127" s="226" t="s">
        <v>135</v>
      </c>
      <c r="B127" s="201" t="s">
        <v>445</v>
      </c>
      <c r="C127" s="225" t="s">
        <v>29</v>
      </c>
      <c r="D127" s="216">
        <v>905.2</v>
      </c>
      <c r="E127" s="216">
        <v>0</v>
      </c>
      <c r="F127" s="216">
        <v>0</v>
      </c>
      <c r="G127" s="216">
        <v>0</v>
      </c>
      <c r="H127" s="216">
        <v>0</v>
      </c>
      <c r="I127" s="216">
        <v>905.2</v>
      </c>
      <c r="J127" s="216">
        <v>0</v>
      </c>
      <c r="K127" s="216">
        <v>0</v>
      </c>
      <c r="L127" s="216">
        <v>0</v>
      </c>
      <c r="M127" s="216">
        <v>0</v>
      </c>
      <c r="N127" s="216">
        <v>174.9</v>
      </c>
      <c r="O127" s="216">
        <v>0</v>
      </c>
      <c r="P127" s="216">
        <v>0</v>
      </c>
      <c r="Q127" s="216">
        <v>0</v>
      </c>
      <c r="R127" s="216">
        <v>0</v>
      </c>
      <c r="S127" s="216">
        <v>0</v>
      </c>
      <c r="T127" s="216">
        <v>31.1</v>
      </c>
      <c r="U127" s="201" t="s">
        <v>421</v>
      </c>
      <c r="V127" s="202"/>
      <c r="W127" s="202" t="s">
        <v>33</v>
      </c>
      <c r="X127" s="202">
        <v>10</v>
      </c>
      <c r="Y127" s="202">
        <v>5</v>
      </c>
      <c r="Z127" s="203" t="s">
        <v>520</v>
      </c>
      <c r="AA127" s="201" t="s">
        <v>523</v>
      </c>
      <c r="AB127" s="158">
        <f>N127-I127</f>
        <v>-730.30000000000007</v>
      </c>
      <c r="AC127" s="126">
        <f>N127-I127</f>
        <v>-730.30000000000007</v>
      </c>
      <c r="AD127" s="19"/>
      <c r="AE127" s="2"/>
      <c r="AJ127" s="135">
        <f>N127-I127</f>
        <v>-730.30000000000007</v>
      </c>
      <c r="AN127" s="116" t="s">
        <v>312</v>
      </c>
      <c r="AQ127" s="192">
        <f t="shared" si="8"/>
        <v>19.321696862571809</v>
      </c>
      <c r="AV127" s="192" t="e">
        <f t="shared" si="9"/>
        <v>#DIV/0!</v>
      </c>
      <c r="AX127" s="193">
        <f t="shared" si="10"/>
        <v>50</v>
      </c>
    </row>
    <row r="128" spans="1:50" ht="89.25" customHeight="1" x14ac:dyDescent="0.65">
      <c r="A128" s="226"/>
      <c r="B128" s="201"/>
      <c r="C128" s="225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01"/>
      <c r="V128" s="202"/>
      <c r="W128" s="202"/>
      <c r="X128" s="202"/>
      <c r="Y128" s="202"/>
      <c r="Z128" s="203"/>
      <c r="AA128" s="201"/>
      <c r="AB128" s="159"/>
      <c r="AC128" s="126">
        <f t="shared" si="11"/>
        <v>0</v>
      </c>
      <c r="AD128" s="19"/>
      <c r="AE128" s="2"/>
      <c r="AJ128" s="135"/>
      <c r="AQ128" s="192" t="e">
        <f t="shared" si="8"/>
        <v>#DIV/0!</v>
      </c>
      <c r="AV128" s="192" t="e">
        <f t="shared" si="9"/>
        <v>#DIV/0!</v>
      </c>
      <c r="AX128" s="193" t="e">
        <f t="shared" si="10"/>
        <v>#DIV/0!</v>
      </c>
    </row>
    <row r="129" spans="1:50" ht="408.75" customHeight="1" x14ac:dyDescent="0.65">
      <c r="A129" s="226" t="s">
        <v>60</v>
      </c>
      <c r="B129" s="201" t="s">
        <v>136</v>
      </c>
      <c r="C129" s="225" t="s">
        <v>29</v>
      </c>
      <c r="D129" s="216">
        <v>0</v>
      </c>
      <c r="E129" s="216">
        <v>13033.4</v>
      </c>
      <c r="F129" s="216">
        <v>0</v>
      </c>
      <c r="G129" s="216">
        <v>0</v>
      </c>
      <c r="H129" s="216">
        <v>0</v>
      </c>
      <c r="I129" s="216">
        <v>0</v>
      </c>
      <c r="J129" s="216">
        <v>0</v>
      </c>
      <c r="K129" s="216">
        <v>13033.4</v>
      </c>
      <c r="L129" s="216">
        <v>0</v>
      </c>
      <c r="M129" s="216">
        <v>0</v>
      </c>
      <c r="N129" s="216">
        <v>0</v>
      </c>
      <c r="O129" s="216">
        <v>0</v>
      </c>
      <c r="P129" s="216">
        <v>2636</v>
      </c>
      <c r="Q129" s="216">
        <v>0</v>
      </c>
      <c r="R129" s="216">
        <v>0</v>
      </c>
      <c r="S129" s="216">
        <v>0</v>
      </c>
      <c r="T129" s="216">
        <v>0</v>
      </c>
      <c r="U129" s="201" t="s">
        <v>512</v>
      </c>
      <c r="V129" s="203"/>
      <c r="W129" s="202" t="s">
        <v>33</v>
      </c>
      <c r="X129" s="202">
        <v>807</v>
      </c>
      <c r="Y129" s="202">
        <v>384</v>
      </c>
      <c r="Z129" s="203" t="s">
        <v>520</v>
      </c>
      <c r="AA129" s="194" t="s">
        <v>293</v>
      </c>
      <c r="AB129" s="158">
        <f>P129-K129</f>
        <v>-10397.4</v>
      </c>
      <c r="AC129" s="126">
        <f t="shared" si="11"/>
        <v>-10397.4</v>
      </c>
      <c r="AD129" s="19"/>
      <c r="AE129" s="2"/>
      <c r="AJ129" s="135">
        <f>P129-K129</f>
        <v>-10397.4</v>
      </c>
      <c r="AN129" s="116" t="s">
        <v>318</v>
      </c>
      <c r="AQ129" s="192" t="e">
        <f t="shared" si="8"/>
        <v>#DIV/0!</v>
      </c>
      <c r="AV129" s="192">
        <f t="shared" si="9"/>
        <v>20.224960486135622</v>
      </c>
      <c r="AX129" s="193">
        <f t="shared" si="10"/>
        <v>47.583643122676577</v>
      </c>
    </row>
    <row r="130" spans="1:50" ht="306" customHeight="1" x14ac:dyDescent="0.65">
      <c r="A130" s="226"/>
      <c r="B130" s="201"/>
      <c r="C130" s="225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01"/>
      <c r="V130" s="203"/>
      <c r="W130" s="202"/>
      <c r="X130" s="202"/>
      <c r="Y130" s="202"/>
      <c r="Z130" s="203"/>
      <c r="AA130" s="196"/>
      <c r="AB130" s="159"/>
      <c r="AC130" s="126"/>
      <c r="AD130" s="19"/>
      <c r="AE130" s="2"/>
      <c r="AJ130" s="133"/>
    </row>
    <row r="131" spans="1:50" ht="42" customHeight="1" x14ac:dyDescent="0.65">
      <c r="A131" s="227"/>
      <c r="B131" s="227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227"/>
      <c r="R131" s="227"/>
      <c r="S131" s="227"/>
      <c r="T131" s="227"/>
      <c r="U131" s="227"/>
      <c r="V131" s="227"/>
      <c r="W131" s="227"/>
      <c r="X131" s="227"/>
      <c r="Y131" s="27"/>
      <c r="Z131" s="27"/>
      <c r="AA131" s="28"/>
      <c r="AB131" s="28"/>
      <c r="AC131" s="1"/>
      <c r="AD131" s="2"/>
      <c r="AE131" s="2"/>
    </row>
    <row r="132" spans="1:50" ht="42" customHeight="1" x14ac:dyDescent="0.65">
      <c r="A132" s="29"/>
      <c r="B132" s="30"/>
      <c r="C132" s="30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30"/>
      <c r="V132" s="29"/>
      <c r="W132" s="29"/>
      <c r="X132" s="29"/>
      <c r="Y132" s="27"/>
      <c r="Z132" s="27"/>
      <c r="AA132" s="28"/>
      <c r="AB132" s="28"/>
      <c r="AC132" s="1"/>
      <c r="AD132" s="2"/>
      <c r="AE132" s="2"/>
    </row>
    <row r="133" spans="1:50" ht="42" customHeight="1" x14ac:dyDescent="0.65">
      <c r="A133" s="29"/>
      <c r="B133" s="30"/>
      <c r="C133" s="30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30"/>
      <c r="V133" s="29"/>
      <c r="W133" s="29"/>
      <c r="X133" s="29"/>
      <c r="Y133" s="27"/>
      <c r="Z133" s="27"/>
      <c r="AA133" s="28"/>
      <c r="AB133" s="28"/>
      <c r="AC133" s="1"/>
      <c r="AD133" s="2"/>
      <c r="AE133" s="2"/>
    </row>
    <row r="134" spans="1:50" ht="61.5" x14ac:dyDescent="0.85">
      <c r="A134" s="228" t="s">
        <v>269</v>
      </c>
      <c r="B134" s="228"/>
      <c r="C134" s="228"/>
      <c r="D134" s="228"/>
      <c r="E134" s="228"/>
      <c r="F134" s="228"/>
      <c r="G134" s="228"/>
      <c r="H134" s="115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31"/>
      <c r="V134" s="27"/>
      <c r="W134" s="27"/>
      <c r="X134" s="32"/>
      <c r="Y134" s="234" t="s">
        <v>265</v>
      </c>
      <c r="Z134" s="234"/>
      <c r="AA134" s="234"/>
      <c r="AB134" s="145"/>
      <c r="AC134" s="1"/>
      <c r="AD134" s="2"/>
      <c r="AE134" s="2"/>
    </row>
    <row r="135" spans="1:50" ht="61.5" x14ac:dyDescent="0.65">
      <c r="A135" s="228"/>
      <c r="B135" s="228"/>
      <c r="C135" s="228"/>
      <c r="D135" s="228"/>
      <c r="E135" s="228"/>
      <c r="F135" s="228"/>
      <c r="G135" s="228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31"/>
      <c r="V135" s="27"/>
      <c r="W135" s="27"/>
      <c r="X135" s="32"/>
      <c r="Y135" s="32"/>
      <c r="Z135" s="27"/>
      <c r="AA135" s="33"/>
      <c r="AB135" s="33"/>
      <c r="AC135" s="1"/>
      <c r="AD135" s="2"/>
      <c r="AE135" s="2"/>
    </row>
    <row r="171" spans="1:2" ht="42" customHeight="1" x14ac:dyDescent="0.65">
      <c r="A171" s="224" t="s">
        <v>322</v>
      </c>
      <c r="B171" s="224"/>
    </row>
    <row r="172" spans="1:2" x14ac:dyDescent="0.65">
      <c r="A172" s="224"/>
      <c r="B172" s="224"/>
    </row>
    <row r="186" ht="45.75" customHeight="1" x14ac:dyDescent="0.65"/>
    <row r="187" ht="409.5" customHeight="1" x14ac:dyDescent="0.65"/>
  </sheetData>
  <mergeCells count="796">
    <mergeCell ref="D120:D121"/>
    <mergeCell ref="C120:C121"/>
    <mergeCell ref="B120:B121"/>
    <mergeCell ref="C122:C123"/>
    <mergeCell ref="B122:B123"/>
    <mergeCell ref="A120:A121"/>
    <mergeCell ref="L122:L123"/>
    <mergeCell ref="K122:K123"/>
    <mergeCell ref="E122:E123"/>
    <mergeCell ref="D122:D123"/>
    <mergeCell ref="A122:A123"/>
    <mergeCell ref="J122:J123"/>
    <mergeCell ref="I122:I123"/>
    <mergeCell ref="H122:H123"/>
    <mergeCell ref="G122:G123"/>
    <mergeCell ref="F122:F123"/>
    <mergeCell ref="L120:L121"/>
    <mergeCell ref="K120:K121"/>
    <mergeCell ref="J120:J121"/>
    <mergeCell ref="I120:I121"/>
    <mergeCell ref="H120:H121"/>
    <mergeCell ref="G120:G121"/>
    <mergeCell ref="F120:F121"/>
    <mergeCell ref="S122:S123"/>
    <mergeCell ref="R122:R123"/>
    <mergeCell ref="Q122:Q123"/>
    <mergeCell ref="P122:P123"/>
    <mergeCell ref="E120:E121"/>
    <mergeCell ref="O122:O123"/>
    <mergeCell ref="N122:N123"/>
    <mergeCell ref="M122:M123"/>
    <mergeCell ref="Q120:Q121"/>
    <mergeCell ref="A118:A119"/>
    <mergeCell ref="Z118:Z119"/>
    <mergeCell ref="Y118:Y119"/>
    <mergeCell ref="X118:X119"/>
    <mergeCell ref="W118:W119"/>
    <mergeCell ref="V118:V119"/>
    <mergeCell ref="U118:U119"/>
    <mergeCell ref="Q118:Q119"/>
    <mergeCell ref="P118:P119"/>
    <mergeCell ref="O118:O119"/>
    <mergeCell ref="E118:E119"/>
    <mergeCell ref="D118:D119"/>
    <mergeCell ref="C118:C119"/>
    <mergeCell ref="B118:B119"/>
    <mergeCell ref="H118:H119"/>
    <mergeCell ref="G118:G119"/>
    <mergeCell ref="F118:F119"/>
    <mergeCell ref="K118:K119"/>
    <mergeCell ref="J118:J119"/>
    <mergeCell ref="I118:I119"/>
    <mergeCell ref="A116:A117"/>
    <mergeCell ref="Z116:Z117"/>
    <mergeCell ref="Y116:Y117"/>
    <mergeCell ref="X116:X117"/>
    <mergeCell ref="W116:W117"/>
    <mergeCell ref="V116:V117"/>
    <mergeCell ref="U116:U117"/>
    <mergeCell ref="P116:P117"/>
    <mergeCell ref="O116:O117"/>
    <mergeCell ref="N116:N117"/>
    <mergeCell ref="M116:M117"/>
    <mergeCell ref="L116:L117"/>
    <mergeCell ref="K116:K117"/>
    <mergeCell ref="J116:J117"/>
    <mergeCell ref="I116:I117"/>
    <mergeCell ref="H116:H117"/>
    <mergeCell ref="T116:T117"/>
    <mergeCell ref="S116:S117"/>
    <mergeCell ref="R116:R117"/>
    <mergeCell ref="G116:G117"/>
    <mergeCell ref="F116:F117"/>
    <mergeCell ref="E116:E117"/>
    <mergeCell ref="D116:D117"/>
    <mergeCell ref="C116:C117"/>
    <mergeCell ref="B116:B117"/>
    <mergeCell ref="D103:D105"/>
    <mergeCell ref="C103:C105"/>
    <mergeCell ref="B103:B105"/>
    <mergeCell ref="A103:A105"/>
    <mergeCell ref="Z103:Z105"/>
    <mergeCell ref="Y103:Y105"/>
    <mergeCell ref="T114:T115"/>
    <mergeCell ref="S114:S115"/>
    <mergeCell ref="R114:R115"/>
    <mergeCell ref="Q114:Q115"/>
    <mergeCell ref="P114:P115"/>
    <mergeCell ref="O114:O115"/>
    <mergeCell ref="N114:N115"/>
    <mergeCell ref="M114:M115"/>
    <mergeCell ref="L114:L115"/>
    <mergeCell ref="K114:K115"/>
    <mergeCell ref="J114:J115"/>
    <mergeCell ref="I114:I115"/>
    <mergeCell ref="H114:H115"/>
    <mergeCell ref="G114:G115"/>
    <mergeCell ref="D114:D115"/>
    <mergeCell ref="C114:C115"/>
    <mergeCell ref="A114:A115"/>
    <mergeCell ref="W114:W115"/>
    <mergeCell ref="V114:V115"/>
    <mergeCell ref="U114:U115"/>
    <mergeCell ref="E114:E115"/>
    <mergeCell ref="X103:X105"/>
    <mergeCell ref="W103:W105"/>
    <mergeCell ref="V103:V105"/>
    <mergeCell ref="U103:U105"/>
    <mergeCell ref="T103:T105"/>
    <mergeCell ref="S103:S105"/>
    <mergeCell ref="R103:R105"/>
    <mergeCell ref="Q103:Q105"/>
    <mergeCell ref="P103:P105"/>
    <mergeCell ref="O103:O105"/>
    <mergeCell ref="N103:N105"/>
    <mergeCell ref="M103:M105"/>
    <mergeCell ref="L103:L105"/>
    <mergeCell ref="K103:K105"/>
    <mergeCell ref="J103:J105"/>
    <mergeCell ref="I103:I105"/>
    <mergeCell ref="F114:F115"/>
    <mergeCell ref="H103:H105"/>
    <mergeCell ref="G103:G105"/>
    <mergeCell ref="F103:F105"/>
    <mergeCell ref="B99:B100"/>
    <mergeCell ref="A99:A100"/>
    <mergeCell ref="L99:L100"/>
    <mergeCell ref="K99:K100"/>
    <mergeCell ref="J99:J100"/>
    <mergeCell ref="I99:I100"/>
    <mergeCell ref="H99:H100"/>
    <mergeCell ref="G99:G100"/>
    <mergeCell ref="F99:F100"/>
    <mergeCell ref="E99:E100"/>
    <mergeCell ref="D99:D100"/>
    <mergeCell ref="E103:E105"/>
    <mergeCell ref="B114:B115"/>
    <mergeCell ref="A94:A95"/>
    <mergeCell ref="V96:V97"/>
    <mergeCell ref="U96:U97"/>
    <mergeCell ref="T96:T97"/>
    <mergeCell ref="S96:S97"/>
    <mergeCell ref="R96:R97"/>
    <mergeCell ref="Q96:Q97"/>
    <mergeCell ref="P96:P97"/>
    <mergeCell ref="O96:O97"/>
    <mergeCell ref="N96:N97"/>
    <mergeCell ref="M96:M97"/>
    <mergeCell ref="L96:L97"/>
    <mergeCell ref="K96:K97"/>
    <mergeCell ref="J96:J97"/>
    <mergeCell ref="I96:I97"/>
    <mergeCell ref="H96:H97"/>
    <mergeCell ref="G96:G97"/>
    <mergeCell ref="F96:F97"/>
    <mergeCell ref="E96:E97"/>
    <mergeCell ref="D96:D97"/>
    <mergeCell ref="B96:B97"/>
    <mergeCell ref="A96:A97"/>
    <mergeCell ref="I87:I88"/>
    <mergeCell ref="Z99:Z100"/>
    <mergeCell ref="Y99:Y100"/>
    <mergeCell ref="X99:X100"/>
    <mergeCell ref="W99:W100"/>
    <mergeCell ref="V99:V100"/>
    <mergeCell ref="B94:B95"/>
    <mergeCell ref="T99:T100"/>
    <mergeCell ref="S99:S100"/>
    <mergeCell ref="R99:R100"/>
    <mergeCell ref="Q99:Q100"/>
    <mergeCell ref="P99:P100"/>
    <mergeCell ref="O99:O100"/>
    <mergeCell ref="N99:N100"/>
    <mergeCell ref="M99:M100"/>
    <mergeCell ref="H87:H88"/>
    <mergeCell ref="I94:I95"/>
    <mergeCell ref="H94:H95"/>
    <mergeCell ref="J87:J88"/>
    <mergeCell ref="L87:L88"/>
    <mergeCell ref="K87:K88"/>
    <mergeCell ref="O89:O90"/>
    <mergeCell ref="C99:C100"/>
    <mergeCell ref="C96:C97"/>
    <mergeCell ref="A87:A88"/>
    <mergeCell ref="Z87:Z88"/>
    <mergeCell ref="Y87:Y88"/>
    <mergeCell ref="X87:X88"/>
    <mergeCell ref="W87:W88"/>
    <mergeCell ref="V87:V88"/>
    <mergeCell ref="U87:U88"/>
    <mergeCell ref="T94:T95"/>
    <mergeCell ref="S94:S95"/>
    <mergeCell ref="R94:R95"/>
    <mergeCell ref="Q94:Q95"/>
    <mergeCell ref="P94:P95"/>
    <mergeCell ref="O94:O95"/>
    <mergeCell ref="N94:N95"/>
    <mergeCell ref="M94:M95"/>
    <mergeCell ref="L94:L95"/>
    <mergeCell ref="K94:K95"/>
    <mergeCell ref="J94:J95"/>
    <mergeCell ref="G94:G95"/>
    <mergeCell ref="F94:F95"/>
    <mergeCell ref="E94:E95"/>
    <mergeCell ref="D94:D95"/>
    <mergeCell ref="Q89:Q90"/>
    <mergeCell ref="L89:L90"/>
    <mergeCell ref="C57:C58"/>
    <mergeCell ref="T57:T58"/>
    <mergeCell ref="T75:T76"/>
    <mergeCell ref="S75:S76"/>
    <mergeCell ref="R75:R76"/>
    <mergeCell ref="Q75:Q76"/>
    <mergeCell ref="P75:P76"/>
    <mergeCell ref="O75:O76"/>
    <mergeCell ref="N75:N76"/>
    <mergeCell ref="M75:M76"/>
    <mergeCell ref="L75:L76"/>
    <mergeCell ref="G75:G76"/>
    <mergeCell ref="K75:K76"/>
    <mergeCell ref="J75:J76"/>
    <mergeCell ref="I75:I76"/>
    <mergeCell ref="H75:H76"/>
    <mergeCell ref="S57:S58"/>
    <mergeCell ref="R57:R58"/>
    <mergeCell ref="Q57:Q58"/>
    <mergeCell ref="O48:O49"/>
    <mergeCell ref="N48:N49"/>
    <mergeCell ref="M48:M49"/>
    <mergeCell ref="Z53:Z56"/>
    <mergeCell ref="Y53:Y56"/>
    <mergeCell ref="X53:X56"/>
    <mergeCell ref="W53:W56"/>
    <mergeCell ref="V53:V56"/>
    <mergeCell ref="U53:U56"/>
    <mergeCell ref="T53:T56"/>
    <mergeCell ref="S53:S56"/>
    <mergeCell ref="R53:R56"/>
    <mergeCell ref="T48:T49"/>
    <mergeCell ref="S48:S49"/>
    <mergeCell ref="R48:R49"/>
    <mergeCell ref="Q48:Q49"/>
    <mergeCell ref="P48:P49"/>
    <mergeCell ref="A1:AA1"/>
    <mergeCell ref="A2:AA2"/>
    <mergeCell ref="A3:AA3"/>
    <mergeCell ref="A4:AA4"/>
    <mergeCell ref="A5:AA5"/>
    <mergeCell ref="Z26:Z27"/>
    <mergeCell ref="Y26:Y27"/>
    <mergeCell ref="X26:X27"/>
    <mergeCell ref="W26:W27"/>
    <mergeCell ref="V26:V27"/>
    <mergeCell ref="U26:U27"/>
    <mergeCell ref="T26:T27"/>
    <mergeCell ref="S26:S27"/>
    <mergeCell ref="R26:R27"/>
    <mergeCell ref="I26:I27"/>
    <mergeCell ref="H26:H27"/>
    <mergeCell ref="B26:B27"/>
    <mergeCell ref="Z21:Z22"/>
    <mergeCell ref="Y21:Y22"/>
    <mergeCell ref="O21:O22"/>
    <mergeCell ref="N21:N22"/>
    <mergeCell ref="M21:M22"/>
    <mergeCell ref="L21:L22"/>
    <mergeCell ref="X21:X22"/>
    <mergeCell ref="Y134:AA134"/>
    <mergeCell ref="U7:U9"/>
    <mergeCell ref="V7:Y8"/>
    <mergeCell ref="Z7:Z9"/>
    <mergeCell ref="AA7:AA9"/>
    <mergeCell ref="A7:A9"/>
    <mergeCell ref="B7:B9"/>
    <mergeCell ref="C7:C9"/>
    <mergeCell ref="D7:H8"/>
    <mergeCell ref="I7:M7"/>
    <mergeCell ref="I8:L8"/>
    <mergeCell ref="N7:S8"/>
    <mergeCell ref="T7:T9"/>
    <mergeCell ref="Z29:Z30"/>
    <mergeCell ref="Y29:Y30"/>
    <mergeCell ref="X29:X30"/>
    <mergeCell ref="W29:W30"/>
    <mergeCell ref="A26:A27"/>
    <mergeCell ref="B37:B39"/>
    <mergeCell ref="A37:A39"/>
    <mergeCell ref="B35:B36"/>
    <mergeCell ref="U37:U39"/>
    <mergeCell ref="H37:H39"/>
    <mergeCell ref="G37:G39"/>
    <mergeCell ref="M46:M47"/>
    <mergeCell ref="N46:N47"/>
    <mergeCell ref="O37:O39"/>
    <mergeCell ref="T37:T39"/>
    <mergeCell ref="K46:K47"/>
    <mergeCell ref="L46:L47"/>
    <mergeCell ref="A41:A42"/>
    <mergeCell ref="J41:J42"/>
    <mergeCell ref="I41:I42"/>
    <mergeCell ref="H41:H42"/>
    <mergeCell ref="G41:G42"/>
    <mergeCell ref="F41:F42"/>
    <mergeCell ref="O41:O42"/>
    <mergeCell ref="N41:N42"/>
    <mergeCell ref="M41:M42"/>
    <mergeCell ref="L41:L42"/>
    <mergeCell ref="K41:K42"/>
    <mergeCell ref="E41:E42"/>
    <mergeCell ref="D41:D42"/>
    <mergeCell ref="C41:C42"/>
    <mergeCell ref="B41:B42"/>
    <mergeCell ref="Q46:Q47"/>
    <mergeCell ref="Q26:Q27"/>
    <mergeCell ref="R29:R30"/>
    <mergeCell ref="S37:S39"/>
    <mergeCell ref="R37:R39"/>
    <mergeCell ref="Q37:Q39"/>
    <mergeCell ref="P37:P39"/>
    <mergeCell ref="T29:T30"/>
    <mergeCell ref="S29:S30"/>
    <mergeCell ref="R31:R32"/>
    <mergeCell ref="Q31:Q32"/>
    <mergeCell ref="G53:G56"/>
    <mergeCell ref="F53:F56"/>
    <mergeCell ref="E53:E56"/>
    <mergeCell ref="K51:K52"/>
    <mergeCell ref="G48:G49"/>
    <mergeCell ref="F48:F49"/>
    <mergeCell ref="E48:E49"/>
    <mergeCell ref="T31:T32"/>
    <mergeCell ref="S31:S32"/>
    <mergeCell ref="N37:N39"/>
    <mergeCell ref="M37:M39"/>
    <mergeCell ref="L37:L39"/>
    <mergeCell ref="K37:K39"/>
    <mergeCell ref="J37:J39"/>
    <mergeCell ref="I37:I39"/>
    <mergeCell ref="R46:R47"/>
    <mergeCell ref="S46:S47"/>
    <mergeCell ref="T46:T47"/>
    <mergeCell ref="R41:R42"/>
    <mergeCell ref="Q41:Q42"/>
    <mergeCell ref="P41:P42"/>
    <mergeCell ref="T41:T42"/>
    <mergeCell ref="S41:S42"/>
    <mergeCell ref="O46:O47"/>
    <mergeCell ref="L48:L49"/>
    <mergeCell ref="K48:K49"/>
    <mergeCell ref="J48:J49"/>
    <mergeCell ref="I48:I49"/>
    <mergeCell ref="H48:H49"/>
    <mergeCell ref="P124:P125"/>
    <mergeCell ref="O124:O125"/>
    <mergeCell ref="N124:N125"/>
    <mergeCell ref="M124:M125"/>
    <mergeCell ref="M53:M56"/>
    <mergeCell ref="L53:L56"/>
    <mergeCell ref="P57:P58"/>
    <mergeCell ref="O57:O58"/>
    <mergeCell ref="N57:N58"/>
    <mergeCell ref="M57:M58"/>
    <mergeCell ref="L57:L58"/>
    <mergeCell ref="N120:N121"/>
    <mergeCell ref="M120:M121"/>
    <mergeCell ref="M118:M119"/>
    <mergeCell ref="P120:P121"/>
    <mergeCell ref="O120:O121"/>
    <mergeCell ref="P89:P90"/>
    <mergeCell ref="J89:J90"/>
    <mergeCell ref="K89:K90"/>
    <mergeCell ref="B127:B128"/>
    <mergeCell ref="A127:A128"/>
    <mergeCell ref="AA127:AA128"/>
    <mergeCell ref="Z127:Z128"/>
    <mergeCell ref="Y127:Y128"/>
    <mergeCell ref="X127:X128"/>
    <mergeCell ref="W127:W128"/>
    <mergeCell ref="V127:V128"/>
    <mergeCell ref="U127:U128"/>
    <mergeCell ref="G127:G128"/>
    <mergeCell ref="F127:F128"/>
    <mergeCell ref="E127:E128"/>
    <mergeCell ref="D127:D128"/>
    <mergeCell ref="C127:C128"/>
    <mergeCell ref="L127:L128"/>
    <mergeCell ref="K127:K128"/>
    <mergeCell ref="J127:J128"/>
    <mergeCell ref="I127:I128"/>
    <mergeCell ref="H127:H128"/>
    <mergeCell ref="Q127:Q128"/>
    <mergeCell ref="P127:P128"/>
    <mergeCell ref="O127:O128"/>
    <mergeCell ref="N127:N128"/>
    <mergeCell ref="M127:M128"/>
    <mergeCell ref="Q116:Q117"/>
    <mergeCell ref="AA124:AA125"/>
    <mergeCell ref="Z124:Z125"/>
    <mergeCell ref="Y124:Y125"/>
    <mergeCell ref="X124:X125"/>
    <mergeCell ref="W124:W125"/>
    <mergeCell ref="V124:V125"/>
    <mergeCell ref="U124:U125"/>
    <mergeCell ref="T118:T119"/>
    <mergeCell ref="S118:S119"/>
    <mergeCell ref="R118:R119"/>
    <mergeCell ref="T120:T121"/>
    <mergeCell ref="S120:S121"/>
    <mergeCell ref="R120:R121"/>
    <mergeCell ref="Q124:Q125"/>
    <mergeCell ref="Z120:Z121"/>
    <mergeCell ref="Y120:Y121"/>
    <mergeCell ref="X122:X123"/>
    <mergeCell ref="Z122:Z123"/>
    <mergeCell ref="Y122:Y123"/>
    <mergeCell ref="W122:W123"/>
    <mergeCell ref="V122:V123"/>
    <mergeCell ref="U122:U123"/>
    <mergeCell ref="T122:T123"/>
    <mergeCell ref="T127:T128"/>
    <mergeCell ref="U31:U32"/>
    <mergeCell ref="V35:V36"/>
    <mergeCell ref="U35:U36"/>
    <mergeCell ref="Y31:Y32"/>
    <mergeCell ref="X31:X32"/>
    <mergeCell ref="W31:W32"/>
    <mergeCell ref="V31:V32"/>
    <mergeCell ref="W89:W90"/>
    <mergeCell ref="Y35:Y36"/>
    <mergeCell ref="X35:X36"/>
    <mergeCell ref="W35:W36"/>
    <mergeCell ref="W46:W47"/>
    <mergeCell ref="V41:V42"/>
    <mergeCell ref="U41:U42"/>
    <mergeCell ref="V46:V47"/>
    <mergeCell ref="V48:V49"/>
    <mergeCell ref="U48:U49"/>
    <mergeCell ref="Y48:Y49"/>
    <mergeCell ref="X48:X49"/>
    <mergeCell ref="W48:W49"/>
    <mergeCell ref="V57:V58"/>
    <mergeCell ref="U57:U58"/>
    <mergeCell ref="Y46:Y47"/>
    <mergeCell ref="X46:X47"/>
    <mergeCell ref="Y114:Y115"/>
    <mergeCell ref="X114:X115"/>
    <mergeCell ref="O31:O32"/>
    <mergeCell ref="N31:N32"/>
    <mergeCell ref="M31:M32"/>
    <mergeCell ref="L31:L32"/>
    <mergeCell ref="P26:P27"/>
    <mergeCell ref="O26:O27"/>
    <mergeCell ref="N26:N27"/>
    <mergeCell ref="M26:M27"/>
    <mergeCell ref="L26:L27"/>
    <mergeCell ref="P31:P32"/>
    <mergeCell ref="O29:O30"/>
    <mergeCell ref="N29:N30"/>
    <mergeCell ref="M29:M30"/>
    <mergeCell ref="L29:L30"/>
    <mergeCell ref="V29:V30"/>
    <mergeCell ref="U29:U30"/>
    <mergeCell ref="Y41:Y42"/>
    <mergeCell ref="X41:X42"/>
    <mergeCell ref="W41:W42"/>
    <mergeCell ref="U46:U47"/>
    <mergeCell ref="P46:P47"/>
    <mergeCell ref="W21:W22"/>
    <mergeCell ref="T24:T25"/>
    <mergeCell ref="S24:S25"/>
    <mergeCell ref="R24:R25"/>
    <mergeCell ref="P24:P25"/>
    <mergeCell ref="U21:U22"/>
    <mergeCell ref="O24:O25"/>
    <mergeCell ref="N24:N25"/>
    <mergeCell ref="M24:M25"/>
    <mergeCell ref="S21:S22"/>
    <mergeCell ref="R21:R22"/>
    <mergeCell ref="V21:V22"/>
    <mergeCell ref="Q21:Q22"/>
    <mergeCell ref="P21:P22"/>
    <mergeCell ref="B21:B22"/>
    <mergeCell ref="A21:A22"/>
    <mergeCell ref="J21:J22"/>
    <mergeCell ref="I21:I22"/>
    <mergeCell ref="H21:H22"/>
    <mergeCell ref="G21:G22"/>
    <mergeCell ref="F21:F22"/>
    <mergeCell ref="B31:B32"/>
    <mergeCell ref="A31:A32"/>
    <mergeCell ref="J31:J32"/>
    <mergeCell ref="I31:I32"/>
    <mergeCell ref="H31:H32"/>
    <mergeCell ref="G31:G32"/>
    <mergeCell ref="F31:F32"/>
    <mergeCell ref="A29:A30"/>
    <mergeCell ref="I29:I30"/>
    <mergeCell ref="H29:H30"/>
    <mergeCell ref="G29:G30"/>
    <mergeCell ref="F29:F30"/>
    <mergeCell ref="E29:E30"/>
    <mergeCell ref="D29:D30"/>
    <mergeCell ref="C29:C30"/>
    <mergeCell ref="B29:B30"/>
    <mergeCell ref="G26:G27"/>
    <mergeCell ref="F124:F125"/>
    <mergeCell ref="E124:E125"/>
    <mergeCell ref="D124:D125"/>
    <mergeCell ref="C124:C125"/>
    <mergeCell ref="L124:L125"/>
    <mergeCell ref="K124:K125"/>
    <mergeCell ref="J124:J125"/>
    <mergeCell ref="I124:I125"/>
    <mergeCell ref="H124:H125"/>
    <mergeCell ref="G124:G125"/>
    <mergeCell ref="A48:A49"/>
    <mergeCell ref="B53:B56"/>
    <mergeCell ref="A53:A56"/>
    <mergeCell ref="E51:E52"/>
    <mergeCell ref="B87:B88"/>
    <mergeCell ref="B89:B90"/>
    <mergeCell ref="C89:C90"/>
    <mergeCell ref="D89:D90"/>
    <mergeCell ref="E89:E90"/>
    <mergeCell ref="D87:D88"/>
    <mergeCell ref="C87:C88"/>
    <mergeCell ref="E75:E76"/>
    <mergeCell ref="E87:E88"/>
    <mergeCell ref="A57:A58"/>
    <mergeCell ref="D75:D76"/>
    <mergeCell ref="C75:C76"/>
    <mergeCell ref="D53:D56"/>
    <mergeCell ref="C53:C56"/>
    <mergeCell ref="B75:B76"/>
    <mergeCell ref="A75:A76"/>
    <mergeCell ref="A89:A90"/>
    <mergeCell ref="B57:B58"/>
    <mergeCell ref="E57:E58"/>
    <mergeCell ref="D57:D58"/>
    <mergeCell ref="F26:F27"/>
    <mergeCell ref="C37:C39"/>
    <mergeCell ref="E46:E47"/>
    <mergeCell ref="F46:F47"/>
    <mergeCell ref="I46:I47"/>
    <mergeCell ref="J46:J47"/>
    <mergeCell ref="F37:F39"/>
    <mergeCell ref="E37:E39"/>
    <mergeCell ref="D37:D39"/>
    <mergeCell ref="D51:D52"/>
    <mergeCell ref="C51:C52"/>
    <mergeCell ref="B51:B52"/>
    <mergeCell ref="J51:J52"/>
    <mergeCell ref="I51:I52"/>
    <mergeCell ref="H51:H52"/>
    <mergeCell ref="G46:G47"/>
    <mergeCell ref="H46:H47"/>
    <mergeCell ref="B46:B47"/>
    <mergeCell ref="C46:C47"/>
    <mergeCell ref="D46:D47"/>
    <mergeCell ref="D48:D49"/>
    <mergeCell ref="C48:C49"/>
    <mergeCell ref="B48:B49"/>
    <mergeCell ref="E21:E22"/>
    <mergeCell ref="D21:D22"/>
    <mergeCell ref="C21:C22"/>
    <mergeCell ref="T35:T36"/>
    <mergeCell ref="S35:S36"/>
    <mergeCell ref="R35:R36"/>
    <mergeCell ref="Q35:Q36"/>
    <mergeCell ref="P35:P36"/>
    <mergeCell ref="C35:C36"/>
    <mergeCell ref="K21:K22"/>
    <mergeCell ref="E26:E27"/>
    <mergeCell ref="D26:D27"/>
    <mergeCell ref="C26:C27"/>
    <mergeCell ref="E31:E32"/>
    <mergeCell ref="D31:D32"/>
    <mergeCell ref="C31:C32"/>
    <mergeCell ref="K31:K32"/>
    <mergeCell ref="K26:K27"/>
    <mergeCell ref="J26:J27"/>
    <mergeCell ref="K29:K30"/>
    <mergeCell ref="J29:J30"/>
    <mergeCell ref="T21:T22"/>
    <mergeCell ref="Q29:Q30"/>
    <mergeCell ref="P29:P30"/>
    <mergeCell ref="B124:B125"/>
    <mergeCell ref="A35:A36"/>
    <mergeCell ref="J35:J36"/>
    <mergeCell ref="I35:I36"/>
    <mergeCell ref="H35:H36"/>
    <mergeCell ref="G35:G36"/>
    <mergeCell ref="F35:F36"/>
    <mergeCell ref="O35:O36"/>
    <mergeCell ref="N35:N36"/>
    <mergeCell ref="M35:M36"/>
    <mergeCell ref="L35:L36"/>
    <mergeCell ref="K35:K36"/>
    <mergeCell ref="E35:E36"/>
    <mergeCell ref="D35:D36"/>
    <mergeCell ref="A124:A125"/>
    <mergeCell ref="G51:G52"/>
    <mergeCell ref="L51:L52"/>
    <mergeCell ref="C94:C95"/>
    <mergeCell ref="O51:O52"/>
    <mergeCell ref="N51:N52"/>
    <mergeCell ref="M51:M52"/>
    <mergeCell ref="O53:O56"/>
    <mergeCell ref="A51:A52"/>
    <mergeCell ref="A46:A47"/>
    <mergeCell ref="M129:M130"/>
    <mergeCell ref="L129:L130"/>
    <mergeCell ref="K129:K130"/>
    <mergeCell ref="J129:J130"/>
    <mergeCell ref="I129:I130"/>
    <mergeCell ref="AA51:AA52"/>
    <mergeCell ref="Z51:Z52"/>
    <mergeCell ref="Y51:Y52"/>
    <mergeCell ref="X51:X52"/>
    <mergeCell ref="W51:W52"/>
    <mergeCell ref="I89:I90"/>
    <mergeCell ref="T87:T88"/>
    <mergeCell ref="S87:S88"/>
    <mergeCell ref="R87:R88"/>
    <mergeCell ref="Q87:Q88"/>
    <mergeCell ref="S124:S125"/>
    <mergeCell ref="R124:R125"/>
    <mergeCell ref="L118:L119"/>
    <mergeCell ref="U89:U90"/>
    <mergeCell ref="AA89:AA90"/>
    <mergeCell ref="Z89:Z90"/>
    <mergeCell ref="Y89:Y90"/>
    <mergeCell ref="X89:X90"/>
    <mergeCell ref="V89:V90"/>
    <mergeCell ref="S127:S128"/>
    <mergeCell ref="R127:R128"/>
    <mergeCell ref="T124:T125"/>
    <mergeCell ref="N118:N119"/>
    <mergeCell ref="T89:T90"/>
    <mergeCell ref="R89:R90"/>
    <mergeCell ref="S89:S90"/>
    <mergeCell ref="Q51:Q52"/>
    <mergeCell ref="Y94:Y95"/>
    <mergeCell ref="T51:T52"/>
    <mergeCell ref="S51:S52"/>
    <mergeCell ref="R51:R52"/>
    <mergeCell ref="V51:V52"/>
    <mergeCell ref="U51:U52"/>
    <mergeCell ref="X120:X121"/>
    <mergeCell ref="W120:W121"/>
    <mergeCell ref="V120:V121"/>
    <mergeCell ref="U120:U121"/>
    <mergeCell ref="Q53:Q56"/>
    <mergeCell ref="P53:P56"/>
    <mergeCell ref="P87:P88"/>
    <mergeCell ref="Y57:Y58"/>
    <mergeCell ref="X57:X58"/>
    <mergeCell ref="W57:W58"/>
    <mergeCell ref="F89:F90"/>
    <mergeCell ref="G89:G90"/>
    <mergeCell ref="H89:H90"/>
    <mergeCell ref="F51:F52"/>
    <mergeCell ref="P51:P52"/>
    <mergeCell ref="K57:K58"/>
    <mergeCell ref="F75:F76"/>
    <mergeCell ref="J57:J58"/>
    <mergeCell ref="I57:I58"/>
    <mergeCell ref="H57:H58"/>
    <mergeCell ref="G57:G58"/>
    <mergeCell ref="G87:G88"/>
    <mergeCell ref="F87:F88"/>
    <mergeCell ref="N53:N56"/>
    <mergeCell ref="O87:O88"/>
    <mergeCell ref="N87:N88"/>
    <mergeCell ref="M87:M88"/>
    <mergeCell ref="F57:F58"/>
    <mergeCell ref="M89:M90"/>
    <mergeCell ref="N89:N90"/>
    <mergeCell ref="K53:K56"/>
    <mergeCell ref="J53:J56"/>
    <mergeCell ref="I53:I56"/>
    <mergeCell ref="H53:H56"/>
    <mergeCell ref="A171:B172"/>
    <mergeCell ref="Z129:Z130"/>
    <mergeCell ref="Y129:Y130"/>
    <mergeCell ref="X129:X130"/>
    <mergeCell ref="W129:W130"/>
    <mergeCell ref="V129:V130"/>
    <mergeCell ref="U129:U130"/>
    <mergeCell ref="T129:T130"/>
    <mergeCell ref="S129:S130"/>
    <mergeCell ref="R129:R130"/>
    <mergeCell ref="F129:F130"/>
    <mergeCell ref="E129:E130"/>
    <mergeCell ref="D129:D130"/>
    <mergeCell ref="C129:C130"/>
    <mergeCell ref="B129:B130"/>
    <mergeCell ref="A129:A130"/>
    <mergeCell ref="H129:H130"/>
    <mergeCell ref="G129:G130"/>
    <mergeCell ref="Q129:Q130"/>
    <mergeCell ref="P129:P130"/>
    <mergeCell ref="O129:O130"/>
    <mergeCell ref="N129:N130"/>
    <mergeCell ref="A131:X131"/>
    <mergeCell ref="A134:G135"/>
    <mergeCell ref="AJ21:AJ22"/>
    <mergeCell ref="AJ29:AJ30"/>
    <mergeCell ref="AJ31:AJ32"/>
    <mergeCell ref="AJ38:AJ39"/>
    <mergeCell ref="Z37:Z39"/>
    <mergeCell ref="AA35:AA36"/>
    <mergeCell ref="Z35:Z36"/>
    <mergeCell ref="AA41:AA42"/>
    <mergeCell ref="AA46:AA47"/>
    <mergeCell ref="Z46:Z47"/>
    <mergeCell ref="Z41:Z42"/>
    <mergeCell ref="AA31:AA32"/>
    <mergeCell ref="Z31:Z32"/>
    <mergeCell ref="AA21:AA22"/>
    <mergeCell ref="AJ42:AJ43"/>
    <mergeCell ref="AA37:AA39"/>
    <mergeCell ref="AA29:AA30"/>
    <mergeCell ref="AA26:AA27"/>
    <mergeCell ref="AJ51:AJ52"/>
    <mergeCell ref="AJ53:AJ54"/>
    <mergeCell ref="AJ55:AJ56"/>
    <mergeCell ref="AJ57:AJ58"/>
    <mergeCell ref="AJ65:AJ66"/>
    <mergeCell ref="Z94:Z95"/>
    <mergeCell ref="Z48:Z49"/>
    <mergeCell ref="Z57:Z58"/>
    <mergeCell ref="Z75:Z76"/>
    <mergeCell ref="AA53:AA56"/>
    <mergeCell ref="AA48:AA49"/>
    <mergeCell ref="AA75:AA76"/>
    <mergeCell ref="AA57:AA58"/>
    <mergeCell ref="AA87:AA88"/>
    <mergeCell ref="AJ114:AJ115"/>
    <mergeCell ref="AJ116:AJ117"/>
    <mergeCell ref="AJ118:AJ119"/>
    <mergeCell ref="AJ120:AJ121"/>
    <mergeCell ref="U94:U95"/>
    <mergeCell ref="AJ75:AJ76"/>
    <mergeCell ref="AJ90:AJ91"/>
    <mergeCell ref="AJ94:AJ95"/>
    <mergeCell ref="AJ96:AJ97"/>
    <mergeCell ref="AJ103:AJ104"/>
    <mergeCell ref="X94:X95"/>
    <mergeCell ref="W94:W95"/>
    <mergeCell ref="V94:V95"/>
    <mergeCell ref="Y75:Y76"/>
    <mergeCell ref="X75:X76"/>
    <mergeCell ref="W75:W76"/>
    <mergeCell ref="V75:V76"/>
    <mergeCell ref="U75:U76"/>
    <mergeCell ref="U99:U100"/>
    <mergeCell ref="Z96:Z97"/>
    <mergeCell ref="Y96:Y97"/>
    <mergeCell ref="X96:X97"/>
    <mergeCell ref="W96:W97"/>
    <mergeCell ref="Z114:Z115"/>
    <mergeCell ref="Y37:Y39"/>
    <mergeCell ref="X37:X39"/>
    <mergeCell ref="W37:W39"/>
    <mergeCell ref="A24:A25"/>
    <mergeCell ref="AA24:AA25"/>
    <mergeCell ref="Z24:Z25"/>
    <mergeCell ref="Y24:Y25"/>
    <mergeCell ref="X24:X25"/>
    <mergeCell ref="W24:W25"/>
    <mergeCell ref="V24:V25"/>
    <mergeCell ref="U24:U25"/>
    <mergeCell ref="Q24:Q25"/>
    <mergeCell ref="L24:L25"/>
    <mergeCell ref="K24:K25"/>
    <mergeCell ref="J24:J25"/>
    <mergeCell ref="I24:I25"/>
    <mergeCell ref="H24:H25"/>
    <mergeCell ref="G24:G25"/>
    <mergeCell ref="F24:F25"/>
    <mergeCell ref="E24:E25"/>
    <mergeCell ref="D24:D25"/>
    <mergeCell ref="B24:B25"/>
    <mergeCell ref="V37:V39"/>
    <mergeCell ref="C24:C25"/>
    <mergeCell ref="AA103:AA105"/>
    <mergeCell ref="AA129:AA130"/>
    <mergeCell ref="AA120:AA121"/>
    <mergeCell ref="AA118:AA119"/>
    <mergeCell ref="AA116:AA117"/>
    <mergeCell ref="AA114:AA115"/>
    <mergeCell ref="AA99:AA100"/>
    <mergeCell ref="AA96:AA97"/>
    <mergeCell ref="AA94:AA95"/>
    <mergeCell ref="AA122:AA1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55" zoomScale="80" zoomScaleNormal="100" zoomScaleSheetLayoutView="80" workbookViewId="0">
      <selection activeCell="G16" sqref="G16"/>
    </sheetView>
  </sheetViews>
  <sheetFormatPr defaultRowHeight="15" x14ac:dyDescent="0.25"/>
  <cols>
    <col min="1" max="1" width="9.140625" style="101"/>
    <col min="2" max="2" width="30.85546875" style="101" customWidth="1"/>
    <col min="3" max="3" width="9.140625" style="101"/>
    <col min="4" max="4" width="12.7109375" style="101" customWidth="1"/>
    <col min="5" max="5" width="9.140625" style="101"/>
    <col min="6" max="6" width="13.42578125" style="101" customWidth="1"/>
    <col min="7" max="7" width="22.140625" style="101" customWidth="1"/>
    <col min="8" max="16384" width="9.140625" style="101"/>
  </cols>
  <sheetData>
    <row r="1" spans="1:8" ht="18.75" x14ac:dyDescent="0.3">
      <c r="A1" s="244" t="s">
        <v>137</v>
      </c>
      <c r="B1" s="244"/>
      <c r="C1" s="244"/>
      <c r="D1" s="244"/>
      <c r="E1" s="244"/>
      <c r="F1" s="244"/>
      <c r="G1" s="244"/>
    </row>
    <row r="2" spans="1:8" ht="18.75" x14ac:dyDescent="0.3">
      <c r="A2" s="244" t="s">
        <v>138</v>
      </c>
      <c r="B2" s="244"/>
      <c r="C2" s="244"/>
      <c r="D2" s="244"/>
      <c r="E2" s="244"/>
      <c r="F2" s="244"/>
      <c r="G2" s="244"/>
    </row>
    <row r="3" spans="1:8" ht="18.75" x14ac:dyDescent="0.3">
      <c r="A3" s="244" t="s">
        <v>2</v>
      </c>
      <c r="B3" s="244"/>
      <c r="C3" s="244"/>
      <c r="D3" s="244"/>
      <c r="E3" s="244"/>
      <c r="F3" s="244"/>
      <c r="G3" s="244"/>
    </row>
    <row r="4" spans="1:8" ht="18.75" x14ac:dyDescent="0.3">
      <c r="A4" s="244" t="s">
        <v>534</v>
      </c>
      <c r="B4" s="244"/>
      <c r="C4" s="244"/>
      <c r="D4" s="244"/>
      <c r="E4" s="244"/>
      <c r="F4" s="244"/>
      <c r="G4" s="244"/>
    </row>
    <row r="5" spans="1:8" ht="15.75" x14ac:dyDescent="0.25">
      <c r="A5" s="34"/>
      <c r="B5" s="35"/>
      <c r="C5" s="35"/>
      <c r="D5" s="35"/>
      <c r="E5" s="35"/>
      <c r="F5" s="36"/>
      <c r="G5" s="35"/>
    </row>
    <row r="6" spans="1:8" x14ac:dyDescent="0.25">
      <c r="A6" s="245" t="s">
        <v>139</v>
      </c>
      <c r="B6" s="246" t="s">
        <v>140</v>
      </c>
      <c r="C6" s="246" t="s">
        <v>141</v>
      </c>
      <c r="D6" s="247" t="s">
        <v>526</v>
      </c>
      <c r="E6" s="247"/>
      <c r="F6" s="247"/>
      <c r="G6" s="246" t="s">
        <v>142</v>
      </c>
    </row>
    <row r="7" spans="1:8" ht="44.25" customHeight="1" x14ac:dyDescent="0.25">
      <c r="A7" s="245"/>
      <c r="B7" s="246"/>
      <c r="C7" s="246"/>
      <c r="D7" s="37" t="s">
        <v>530</v>
      </c>
      <c r="E7" s="246" t="s">
        <v>143</v>
      </c>
      <c r="F7" s="246"/>
      <c r="G7" s="246"/>
    </row>
    <row r="8" spans="1:8" x14ac:dyDescent="0.25">
      <c r="A8" s="245"/>
      <c r="B8" s="246"/>
      <c r="C8" s="246"/>
      <c r="D8" s="37" t="s">
        <v>144</v>
      </c>
      <c r="E8" s="37" t="s">
        <v>145</v>
      </c>
      <c r="F8" s="38" t="s">
        <v>144</v>
      </c>
      <c r="G8" s="246"/>
    </row>
    <row r="9" spans="1:8" x14ac:dyDescent="0.25">
      <c r="A9" s="44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</row>
    <row r="10" spans="1:8" ht="40.5" customHeight="1" x14ac:dyDescent="0.25">
      <c r="A10" s="39"/>
      <c r="B10" s="40" t="s">
        <v>146</v>
      </c>
      <c r="C10" s="41"/>
      <c r="D10" s="41"/>
      <c r="E10" s="41"/>
      <c r="F10" s="42"/>
      <c r="G10" s="41"/>
    </row>
    <row r="11" spans="1:8" ht="42" customHeight="1" x14ac:dyDescent="0.25">
      <c r="A11" s="43" t="s">
        <v>147</v>
      </c>
      <c r="B11" s="272" t="s">
        <v>148</v>
      </c>
      <c r="C11" s="273" t="s">
        <v>33</v>
      </c>
      <c r="D11" s="274">
        <v>11884</v>
      </c>
      <c r="E11" s="275">
        <v>13000</v>
      </c>
      <c r="F11" s="275">
        <v>8907</v>
      </c>
      <c r="G11" s="272" t="s">
        <v>535</v>
      </c>
    </row>
    <row r="12" spans="1:8" ht="66.75" customHeight="1" x14ac:dyDescent="0.25">
      <c r="A12" s="43" t="s">
        <v>149</v>
      </c>
      <c r="B12" s="272" t="s">
        <v>150</v>
      </c>
      <c r="C12" s="273" t="s">
        <v>151</v>
      </c>
      <c r="D12" s="273">
        <v>100.1</v>
      </c>
      <c r="E12" s="276">
        <v>100</v>
      </c>
      <c r="F12" s="277">
        <v>106</v>
      </c>
      <c r="G12" s="278"/>
      <c r="H12" s="101" t="s">
        <v>472</v>
      </c>
    </row>
    <row r="13" spans="1:8" ht="80.25" customHeight="1" x14ac:dyDescent="0.25">
      <c r="A13" s="43" t="s">
        <v>44</v>
      </c>
      <c r="B13" s="272" t="s">
        <v>152</v>
      </c>
      <c r="C13" s="273" t="s">
        <v>151</v>
      </c>
      <c r="D13" s="273" t="s">
        <v>292</v>
      </c>
      <c r="E13" s="273">
        <v>97</v>
      </c>
      <c r="F13" s="277">
        <v>93</v>
      </c>
      <c r="G13" s="272" t="s">
        <v>532</v>
      </c>
    </row>
    <row r="14" spans="1:8" ht="93" customHeight="1" x14ac:dyDescent="0.25">
      <c r="A14" s="43" t="s">
        <v>153</v>
      </c>
      <c r="B14" s="272" t="s">
        <v>154</v>
      </c>
      <c r="C14" s="273" t="s">
        <v>151</v>
      </c>
      <c r="D14" s="273" t="s">
        <v>292</v>
      </c>
      <c r="E14" s="279">
        <v>100</v>
      </c>
      <c r="F14" s="277" t="s">
        <v>292</v>
      </c>
      <c r="G14" s="272" t="s">
        <v>532</v>
      </c>
    </row>
    <row r="15" spans="1:8" ht="52.5" customHeight="1" x14ac:dyDescent="0.25">
      <c r="A15" s="43" t="s">
        <v>54</v>
      </c>
      <c r="B15" s="272" t="s">
        <v>155</v>
      </c>
      <c r="C15" s="273" t="s">
        <v>151</v>
      </c>
      <c r="D15" s="273" t="s">
        <v>292</v>
      </c>
      <c r="E15" s="273">
        <v>87</v>
      </c>
      <c r="F15" s="277" t="s">
        <v>292</v>
      </c>
      <c r="G15" s="272" t="s">
        <v>532</v>
      </c>
    </row>
    <row r="16" spans="1:8" ht="106.5" customHeight="1" x14ac:dyDescent="0.25">
      <c r="A16" s="43" t="s">
        <v>156</v>
      </c>
      <c r="B16" s="272" t="s">
        <v>157</v>
      </c>
      <c r="C16" s="273" t="s">
        <v>151</v>
      </c>
      <c r="D16" s="273" t="s">
        <v>292</v>
      </c>
      <c r="E16" s="273">
        <v>12.4</v>
      </c>
      <c r="F16" s="277">
        <v>15.9</v>
      </c>
      <c r="G16" s="272"/>
    </row>
    <row r="17" spans="1:8" ht="121.5" customHeight="1" x14ac:dyDescent="0.25">
      <c r="A17" s="43" t="s">
        <v>158</v>
      </c>
      <c r="B17" s="272" t="s">
        <v>159</v>
      </c>
      <c r="C17" s="273" t="s">
        <v>151</v>
      </c>
      <c r="D17" s="273" t="s">
        <v>292</v>
      </c>
      <c r="E17" s="273">
        <v>100</v>
      </c>
      <c r="F17" s="273">
        <v>100</v>
      </c>
      <c r="G17" s="280"/>
    </row>
    <row r="18" spans="1:8" ht="40.5" customHeight="1" x14ac:dyDescent="0.25">
      <c r="A18" s="43" t="s">
        <v>160</v>
      </c>
      <c r="B18" s="272" t="s">
        <v>161</v>
      </c>
      <c r="C18" s="273" t="s">
        <v>162</v>
      </c>
      <c r="D18" s="273" t="s">
        <v>292</v>
      </c>
      <c r="E18" s="273">
        <v>64.2</v>
      </c>
      <c r="F18" s="277" t="s">
        <v>292</v>
      </c>
      <c r="G18" s="272" t="s">
        <v>532</v>
      </c>
    </row>
    <row r="19" spans="1:8" ht="39.75" customHeight="1" x14ac:dyDescent="0.25">
      <c r="A19" s="43" t="s">
        <v>163</v>
      </c>
      <c r="B19" s="272" t="s">
        <v>164</v>
      </c>
      <c r="C19" s="273" t="s">
        <v>165</v>
      </c>
      <c r="D19" s="273" t="s">
        <v>292</v>
      </c>
      <c r="E19" s="281">
        <v>0.14499999999999999</v>
      </c>
      <c r="F19" s="277" t="s">
        <v>292</v>
      </c>
      <c r="G19" s="272" t="s">
        <v>532</v>
      </c>
    </row>
    <row r="20" spans="1:8" ht="40.5" customHeight="1" x14ac:dyDescent="0.25">
      <c r="A20" s="46" t="s">
        <v>166</v>
      </c>
      <c r="B20" s="272" t="s">
        <v>167</v>
      </c>
      <c r="C20" s="273" t="s">
        <v>168</v>
      </c>
      <c r="D20" s="273" t="s">
        <v>292</v>
      </c>
      <c r="E20" s="273">
        <v>1.54</v>
      </c>
      <c r="F20" s="277" t="s">
        <v>292</v>
      </c>
      <c r="G20" s="272" t="s">
        <v>532</v>
      </c>
    </row>
    <row r="21" spans="1:8" ht="54" customHeight="1" x14ac:dyDescent="0.25">
      <c r="A21" s="46" t="s">
        <v>169</v>
      </c>
      <c r="B21" s="272" t="s">
        <v>170</v>
      </c>
      <c r="C21" s="273" t="s">
        <v>171</v>
      </c>
      <c r="D21" s="273" t="s">
        <v>292</v>
      </c>
      <c r="E21" s="273">
        <v>21.2</v>
      </c>
      <c r="F21" s="277" t="s">
        <v>292</v>
      </c>
      <c r="G21" s="272" t="s">
        <v>532</v>
      </c>
    </row>
    <row r="22" spans="1:8" ht="133.5" customHeight="1" x14ac:dyDescent="0.25">
      <c r="A22" s="43" t="s">
        <v>172</v>
      </c>
      <c r="B22" s="272" t="s">
        <v>173</v>
      </c>
      <c r="C22" s="273" t="s">
        <v>171</v>
      </c>
      <c r="D22" s="273" t="s">
        <v>292</v>
      </c>
      <c r="E22" s="273">
        <v>2.14</v>
      </c>
      <c r="F22" s="277" t="s">
        <v>292</v>
      </c>
      <c r="G22" s="272" t="s">
        <v>532</v>
      </c>
    </row>
    <row r="23" spans="1:8" ht="43.5" customHeight="1" x14ac:dyDescent="0.25">
      <c r="A23" s="46" t="s">
        <v>174</v>
      </c>
      <c r="B23" s="272" t="s">
        <v>175</v>
      </c>
      <c r="C23" s="273" t="s">
        <v>171</v>
      </c>
      <c r="D23" s="273" t="s">
        <v>292</v>
      </c>
      <c r="E23" s="276">
        <v>100</v>
      </c>
      <c r="F23" s="277">
        <v>100</v>
      </c>
      <c r="G23" s="272"/>
    </row>
    <row r="24" spans="1:8" ht="108.75" customHeight="1" x14ac:dyDescent="0.25">
      <c r="A24" s="46" t="s">
        <v>176</v>
      </c>
      <c r="B24" s="272" t="s">
        <v>177</v>
      </c>
      <c r="C24" s="273" t="s">
        <v>171</v>
      </c>
      <c r="D24" s="273" t="s">
        <v>292</v>
      </c>
      <c r="E24" s="273">
        <v>8.6999999999999993</v>
      </c>
      <c r="F24" s="277" t="s">
        <v>292</v>
      </c>
      <c r="G24" s="272" t="s">
        <v>533</v>
      </c>
    </row>
    <row r="25" spans="1:8" ht="15.75" x14ac:dyDescent="0.25">
      <c r="A25" s="43" t="s">
        <v>178</v>
      </c>
      <c r="B25" s="282" t="s">
        <v>179</v>
      </c>
      <c r="C25" s="282"/>
      <c r="D25" s="282"/>
      <c r="E25" s="282"/>
      <c r="F25" s="282"/>
      <c r="G25" s="282"/>
    </row>
    <row r="26" spans="1:8" ht="66.75" customHeight="1" x14ac:dyDescent="0.25">
      <c r="A26" s="43" t="s">
        <v>180</v>
      </c>
      <c r="B26" s="283" t="s">
        <v>181</v>
      </c>
      <c r="C26" s="273" t="s">
        <v>151</v>
      </c>
      <c r="D26" s="273">
        <v>100</v>
      </c>
      <c r="E26" s="276">
        <v>100</v>
      </c>
      <c r="F26" s="277">
        <v>99.99</v>
      </c>
      <c r="G26" s="284"/>
      <c r="H26" s="101" t="s">
        <v>471</v>
      </c>
    </row>
    <row r="27" spans="1:8" ht="15.75" x14ac:dyDescent="0.25">
      <c r="A27" s="43" t="s">
        <v>182</v>
      </c>
      <c r="B27" s="282" t="s">
        <v>183</v>
      </c>
      <c r="C27" s="282"/>
      <c r="D27" s="282"/>
      <c r="E27" s="282"/>
      <c r="F27" s="282"/>
      <c r="G27" s="282"/>
    </row>
    <row r="28" spans="1:8" ht="110.25" customHeight="1" x14ac:dyDescent="0.25">
      <c r="A28" s="43" t="s">
        <v>184</v>
      </c>
      <c r="B28" s="272" t="s">
        <v>185</v>
      </c>
      <c r="C28" s="273" t="s">
        <v>151</v>
      </c>
      <c r="D28" s="276">
        <v>100</v>
      </c>
      <c r="E28" s="276">
        <v>100</v>
      </c>
      <c r="F28" s="276">
        <v>100</v>
      </c>
      <c r="G28" s="272"/>
    </row>
    <row r="29" spans="1:8" ht="41.25" customHeight="1" x14ac:dyDescent="0.25">
      <c r="A29" s="43" t="s">
        <v>186</v>
      </c>
      <c r="B29" s="272" t="s">
        <v>187</v>
      </c>
      <c r="C29" s="273" t="s">
        <v>33</v>
      </c>
      <c r="D29" s="273">
        <v>1323</v>
      </c>
      <c r="E29" s="274">
        <v>2600</v>
      </c>
      <c r="F29" s="274">
        <v>2809</v>
      </c>
      <c r="G29" s="272"/>
    </row>
    <row r="30" spans="1:8" ht="40.5" customHeight="1" x14ac:dyDescent="0.25">
      <c r="A30" s="43" t="s">
        <v>188</v>
      </c>
      <c r="B30" s="272" t="s">
        <v>189</v>
      </c>
      <c r="C30" s="273" t="s">
        <v>190</v>
      </c>
      <c r="D30" s="273">
        <v>3739</v>
      </c>
      <c r="E30" s="274">
        <v>8300</v>
      </c>
      <c r="F30" s="274">
        <v>7776</v>
      </c>
      <c r="G30" s="272" t="s">
        <v>296</v>
      </c>
    </row>
    <row r="31" spans="1:8" ht="42" customHeight="1" x14ac:dyDescent="0.25">
      <c r="A31" s="43" t="s">
        <v>191</v>
      </c>
      <c r="B31" s="272" t="s">
        <v>192</v>
      </c>
      <c r="C31" s="273" t="s">
        <v>33</v>
      </c>
      <c r="D31" s="273">
        <v>1814</v>
      </c>
      <c r="E31" s="274">
        <v>4700</v>
      </c>
      <c r="F31" s="274">
        <v>3790</v>
      </c>
      <c r="G31" s="272" t="s">
        <v>296</v>
      </c>
    </row>
    <row r="32" spans="1:8" ht="15.75" x14ac:dyDescent="0.25">
      <c r="A32" s="43" t="s">
        <v>193</v>
      </c>
      <c r="B32" s="282" t="s">
        <v>194</v>
      </c>
      <c r="C32" s="282"/>
      <c r="D32" s="282"/>
      <c r="E32" s="282"/>
      <c r="F32" s="282"/>
      <c r="G32" s="282"/>
    </row>
    <row r="33" spans="1:7" ht="229.5" customHeight="1" x14ac:dyDescent="0.25">
      <c r="A33" s="43" t="s">
        <v>195</v>
      </c>
      <c r="B33" s="272" t="s">
        <v>196</v>
      </c>
      <c r="C33" s="273" t="s">
        <v>151</v>
      </c>
      <c r="D33" s="276">
        <v>93</v>
      </c>
      <c r="E33" s="276">
        <v>94</v>
      </c>
      <c r="F33" s="277">
        <v>98.3</v>
      </c>
      <c r="G33" s="272" t="s">
        <v>464</v>
      </c>
    </row>
    <row r="34" spans="1:7" ht="133.5" customHeight="1" x14ac:dyDescent="0.25">
      <c r="A34" s="43" t="s">
        <v>197</v>
      </c>
      <c r="B34" s="272" t="s">
        <v>198</v>
      </c>
      <c r="C34" s="273" t="s">
        <v>190</v>
      </c>
      <c r="D34" s="273" t="s">
        <v>292</v>
      </c>
      <c r="E34" s="273">
        <v>1.7529999999999999</v>
      </c>
      <c r="F34" s="277" t="s">
        <v>292</v>
      </c>
      <c r="G34" s="272" t="s">
        <v>284</v>
      </c>
    </row>
    <row r="35" spans="1:7" ht="133.5" customHeight="1" x14ac:dyDescent="0.25">
      <c r="A35" s="43" t="s">
        <v>199</v>
      </c>
      <c r="B35" s="272" t="s">
        <v>200</v>
      </c>
      <c r="C35" s="273" t="s">
        <v>33</v>
      </c>
      <c r="D35" s="273" t="s">
        <v>292</v>
      </c>
      <c r="E35" s="273">
        <v>111.7</v>
      </c>
      <c r="F35" s="277" t="s">
        <v>292</v>
      </c>
      <c r="G35" s="272" t="s">
        <v>284</v>
      </c>
    </row>
    <row r="36" spans="1:7" ht="133.5" customHeight="1" x14ac:dyDescent="0.25">
      <c r="A36" s="43" t="s">
        <v>201</v>
      </c>
      <c r="B36" s="272" t="s">
        <v>202</v>
      </c>
      <c r="C36" s="273" t="s">
        <v>33</v>
      </c>
      <c r="D36" s="273" t="s">
        <v>292</v>
      </c>
      <c r="E36" s="273">
        <v>90.5</v>
      </c>
      <c r="F36" s="277" t="s">
        <v>292</v>
      </c>
      <c r="G36" s="272" t="s">
        <v>284</v>
      </c>
    </row>
    <row r="37" spans="1:7" ht="42.75" customHeight="1" x14ac:dyDescent="0.25">
      <c r="A37" s="43" t="s">
        <v>271</v>
      </c>
      <c r="B37" s="272" t="s">
        <v>274</v>
      </c>
      <c r="C37" s="273" t="s">
        <v>190</v>
      </c>
      <c r="D37" s="273" t="s">
        <v>292</v>
      </c>
      <c r="E37" s="273">
        <v>0.61499999999999999</v>
      </c>
      <c r="F37" s="277" t="s">
        <v>292</v>
      </c>
      <c r="G37" s="272" t="s">
        <v>524</v>
      </c>
    </row>
    <row r="38" spans="1:7" ht="43.5" customHeight="1" x14ac:dyDescent="0.25">
      <c r="A38" s="43" t="s">
        <v>273</v>
      </c>
      <c r="B38" s="272" t="s">
        <v>275</v>
      </c>
      <c r="C38" s="273" t="s">
        <v>190</v>
      </c>
      <c r="D38" s="273" t="s">
        <v>292</v>
      </c>
      <c r="E38" s="273">
        <v>0.38300000000000001</v>
      </c>
      <c r="F38" s="277" t="s">
        <v>292</v>
      </c>
      <c r="G38" s="272" t="s">
        <v>524</v>
      </c>
    </row>
    <row r="39" spans="1:7" ht="54" customHeight="1" x14ac:dyDescent="0.25">
      <c r="A39" s="43" t="s">
        <v>272</v>
      </c>
      <c r="B39" s="272" t="s">
        <v>276</v>
      </c>
      <c r="C39" s="273" t="s">
        <v>190</v>
      </c>
      <c r="D39" s="273" t="s">
        <v>292</v>
      </c>
      <c r="E39" s="273">
        <v>43.68</v>
      </c>
      <c r="F39" s="277" t="s">
        <v>292</v>
      </c>
      <c r="G39" s="272" t="s">
        <v>525</v>
      </c>
    </row>
    <row r="40" spans="1:7" ht="78.75" customHeight="1" x14ac:dyDescent="0.25">
      <c r="A40" s="43" t="s">
        <v>302</v>
      </c>
      <c r="B40" s="272" t="s">
        <v>303</v>
      </c>
      <c r="C40" s="273" t="s">
        <v>151</v>
      </c>
      <c r="D40" s="273" t="s">
        <v>292</v>
      </c>
      <c r="E40" s="273">
        <v>20.7</v>
      </c>
      <c r="F40" s="277" t="s">
        <v>292</v>
      </c>
      <c r="G40" s="272" t="s">
        <v>532</v>
      </c>
    </row>
    <row r="41" spans="1:7" ht="15.75" x14ac:dyDescent="0.25">
      <c r="A41" s="47"/>
      <c r="B41" s="48"/>
      <c r="C41" s="49"/>
      <c r="D41" s="49"/>
      <c r="E41" s="49"/>
      <c r="F41" s="50"/>
      <c r="G41" s="48"/>
    </row>
    <row r="42" spans="1:7" ht="66.75" customHeight="1" x14ac:dyDescent="0.3">
      <c r="A42" s="240" t="s">
        <v>264</v>
      </c>
      <c r="B42" s="242"/>
      <c r="C42" s="51"/>
      <c r="D42" s="51"/>
      <c r="E42" s="51"/>
      <c r="F42" s="243" t="s">
        <v>265</v>
      </c>
      <c r="G42" s="243"/>
    </row>
    <row r="46" spans="1:7" ht="42" customHeight="1" x14ac:dyDescent="0.25"/>
    <row r="47" spans="1:7" x14ac:dyDescent="0.25">
      <c r="A47" s="241"/>
      <c r="B47" s="241"/>
    </row>
    <row r="53" spans="1:2" ht="18.75" customHeight="1" x14ac:dyDescent="0.25">
      <c r="A53" s="240" t="s">
        <v>518</v>
      </c>
      <c r="B53" s="240"/>
    </row>
    <row r="54" spans="1:2" x14ac:dyDescent="0.25">
      <c r="A54" s="240"/>
      <c r="B54" s="240"/>
    </row>
  </sheetData>
  <mergeCells count="17"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  <mergeCell ref="A53:B54"/>
    <mergeCell ref="A47:B47"/>
    <mergeCell ref="B25:G25"/>
    <mergeCell ref="B27:G27"/>
    <mergeCell ref="B32:G32"/>
    <mergeCell ref="A42:B42"/>
    <mergeCell ref="F42:G4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9"/>
  <sheetViews>
    <sheetView view="pageBreakPreview" topLeftCell="A35" zoomScale="50" zoomScaleNormal="30" zoomScaleSheetLayoutView="50" workbookViewId="0">
      <selection activeCell="E115" sqref="E115"/>
    </sheetView>
  </sheetViews>
  <sheetFormatPr defaultRowHeight="15" x14ac:dyDescent="0.25"/>
  <cols>
    <col min="1" max="1" width="13" style="101" customWidth="1"/>
    <col min="2" max="2" width="38.85546875" style="101" customWidth="1"/>
    <col min="3" max="3" width="9.140625" style="101" customWidth="1"/>
    <col min="4" max="4" width="40.140625" style="141" customWidth="1"/>
    <col min="5" max="5" width="19.5703125" style="101" customWidth="1"/>
    <col min="6" max="6" width="17.28515625" style="101" customWidth="1"/>
    <col min="7" max="7" width="18.140625" style="101" customWidth="1"/>
    <col min="8" max="8" width="19.5703125" style="101" customWidth="1"/>
    <col min="9" max="9" width="23.5703125" style="101" customWidth="1"/>
    <col min="10" max="10" width="22.28515625" style="101" customWidth="1"/>
    <col min="11" max="11" width="21.7109375" style="101" customWidth="1"/>
    <col min="12" max="12" width="21.42578125" style="101" customWidth="1"/>
    <col min="13" max="14" width="19.42578125" style="101" customWidth="1"/>
    <col min="15" max="15" width="20.7109375" style="101" customWidth="1"/>
    <col min="16" max="16" width="20.28515625" style="101" customWidth="1"/>
    <col min="17" max="17" width="29" style="101" customWidth="1"/>
    <col min="18" max="19" width="31.5703125" style="101" customWidth="1"/>
    <col min="20" max="20" width="14.7109375" style="101" bestFit="1" customWidth="1"/>
    <col min="21" max="21" width="9.140625" style="101"/>
    <col min="22" max="22" width="8.85546875" style="101" customWidth="1"/>
    <col min="23" max="23" width="22.85546875" style="101" customWidth="1"/>
    <col min="24" max="24" width="18.5703125" style="101" customWidth="1"/>
    <col min="25" max="25" width="20.28515625" style="101" customWidth="1"/>
    <col min="26" max="16384" width="9.140625" style="101"/>
  </cols>
  <sheetData>
    <row r="1" spans="1:27" ht="18.75" x14ac:dyDescent="0.3">
      <c r="A1" s="52"/>
      <c r="B1" s="267" t="s">
        <v>137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55"/>
      <c r="R1" s="56"/>
      <c r="S1" s="57"/>
      <c r="T1" s="54"/>
      <c r="U1" s="54"/>
      <c r="V1" s="54"/>
      <c r="W1" s="58"/>
      <c r="X1" s="58"/>
      <c r="Y1" s="58"/>
      <c r="Z1" s="59"/>
      <c r="AA1" s="59"/>
    </row>
    <row r="2" spans="1:27" ht="18.75" x14ac:dyDescent="0.3">
      <c r="A2" s="60" t="s">
        <v>203</v>
      </c>
      <c r="B2" s="268" t="s">
        <v>204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61"/>
      <c r="R2" s="62"/>
      <c r="S2" s="63"/>
      <c r="T2" s="54"/>
      <c r="U2" s="54"/>
      <c r="V2" s="54"/>
      <c r="W2" s="58"/>
      <c r="X2" s="58"/>
      <c r="Y2" s="58"/>
      <c r="Z2" s="59"/>
      <c r="AA2" s="59"/>
    </row>
    <row r="3" spans="1:27" ht="18.75" x14ac:dyDescent="0.3">
      <c r="A3" s="60" t="s">
        <v>205</v>
      </c>
      <c r="B3" s="268" t="s">
        <v>206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61"/>
      <c r="R3" s="62"/>
      <c r="S3" s="63"/>
      <c r="T3" s="54"/>
      <c r="U3" s="54"/>
      <c r="V3" s="54"/>
      <c r="W3" s="64"/>
      <c r="X3" s="64"/>
      <c r="Y3" s="64"/>
      <c r="Z3" s="54"/>
      <c r="AA3" s="54"/>
    </row>
    <row r="4" spans="1:27" ht="18.75" customHeight="1" x14ac:dyDescent="0.3">
      <c r="A4" s="65" t="s">
        <v>207</v>
      </c>
      <c r="B4" s="269" t="s">
        <v>387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66"/>
      <c r="R4" s="62"/>
      <c r="S4" s="63"/>
      <c r="T4" s="54"/>
      <c r="U4" s="54"/>
      <c r="V4" s="54"/>
      <c r="W4" s="64"/>
      <c r="X4" s="64"/>
      <c r="Y4" s="64"/>
      <c r="Z4" s="54"/>
      <c r="AA4" s="54"/>
    </row>
    <row r="5" spans="1:27" ht="15.75" x14ac:dyDescent="0.25">
      <c r="A5" s="67"/>
      <c r="B5" s="68"/>
      <c r="C5" s="67"/>
      <c r="D5" s="138"/>
      <c r="E5" s="67"/>
      <c r="F5" s="67"/>
      <c r="G5" s="67"/>
      <c r="H5" s="67"/>
      <c r="I5" s="53"/>
      <c r="J5" s="53"/>
      <c r="K5" s="53"/>
      <c r="L5" s="53"/>
      <c r="M5" s="53"/>
      <c r="N5" s="53"/>
      <c r="O5" s="53"/>
      <c r="P5" s="53"/>
      <c r="Q5" s="69"/>
      <c r="R5" s="62"/>
      <c r="S5" s="63"/>
      <c r="T5" s="54"/>
      <c r="U5" s="54"/>
      <c r="V5" s="54"/>
      <c r="W5" s="64"/>
      <c r="X5" s="64"/>
      <c r="Y5" s="64"/>
      <c r="Z5" s="54"/>
      <c r="AA5" s="54"/>
    </row>
    <row r="6" spans="1:27" ht="18.75" customHeight="1" x14ac:dyDescent="0.25">
      <c r="A6" s="256" t="s">
        <v>208</v>
      </c>
      <c r="B6" s="260" t="s">
        <v>209</v>
      </c>
      <c r="C6" s="265" t="s">
        <v>210</v>
      </c>
      <c r="D6" s="270" t="s">
        <v>211</v>
      </c>
      <c r="E6" s="265" t="s">
        <v>212</v>
      </c>
      <c r="F6" s="265" t="s">
        <v>213</v>
      </c>
      <c r="G6" s="265" t="s">
        <v>214</v>
      </c>
      <c r="H6" s="265" t="s">
        <v>215</v>
      </c>
      <c r="I6" s="266" t="s">
        <v>216</v>
      </c>
      <c r="J6" s="266"/>
      <c r="K6" s="266"/>
      <c r="L6" s="266"/>
      <c r="M6" s="266"/>
      <c r="N6" s="266"/>
      <c r="O6" s="266"/>
      <c r="P6" s="266"/>
      <c r="Q6" s="260" t="s">
        <v>391</v>
      </c>
      <c r="R6" s="178"/>
      <c r="S6" s="179"/>
      <c r="T6" s="180"/>
      <c r="U6" s="72"/>
      <c r="V6" s="72"/>
      <c r="W6" s="57"/>
      <c r="X6" s="57"/>
      <c r="Y6" s="57"/>
      <c r="Z6" s="72"/>
      <c r="AA6" s="72"/>
    </row>
    <row r="7" spans="1:27" ht="18.75" x14ac:dyDescent="0.25">
      <c r="A7" s="256"/>
      <c r="B7" s="260"/>
      <c r="C7" s="265"/>
      <c r="D7" s="270"/>
      <c r="E7" s="265"/>
      <c r="F7" s="265"/>
      <c r="G7" s="265"/>
      <c r="H7" s="265"/>
      <c r="I7" s="263" t="s">
        <v>217</v>
      </c>
      <c r="J7" s="263"/>
      <c r="K7" s="264" t="s">
        <v>218</v>
      </c>
      <c r="L7" s="264"/>
      <c r="M7" s="263" t="s">
        <v>219</v>
      </c>
      <c r="N7" s="263"/>
      <c r="O7" s="263" t="s">
        <v>220</v>
      </c>
      <c r="P7" s="263"/>
      <c r="Q7" s="260"/>
      <c r="R7" s="178"/>
      <c r="S7" s="179"/>
      <c r="T7" s="181"/>
      <c r="U7" s="54"/>
      <c r="V7" s="54"/>
      <c r="W7" s="64"/>
      <c r="X7" s="64"/>
      <c r="Y7" s="64"/>
      <c r="Z7" s="54"/>
      <c r="AA7" s="54"/>
    </row>
    <row r="8" spans="1:27" ht="141.75" customHeight="1" x14ac:dyDescent="0.25">
      <c r="A8" s="256"/>
      <c r="B8" s="260"/>
      <c r="C8" s="265"/>
      <c r="D8" s="270"/>
      <c r="E8" s="265"/>
      <c r="F8" s="265"/>
      <c r="G8" s="265"/>
      <c r="H8" s="265"/>
      <c r="I8" s="177" t="s">
        <v>145</v>
      </c>
      <c r="J8" s="177" t="s">
        <v>144</v>
      </c>
      <c r="K8" s="177" t="s">
        <v>145</v>
      </c>
      <c r="L8" s="177" t="s">
        <v>144</v>
      </c>
      <c r="M8" s="177" t="s">
        <v>145</v>
      </c>
      <c r="N8" s="177" t="s">
        <v>144</v>
      </c>
      <c r="O8" s="177" t="s">
        <v>145</v>
      </c>
      <c r="P8" s="177" t="s">
        <v>144</v>
      </c>
      <c r="Q8" s="260"/>
      <c r="R8" s="178"/>
      <c r="S8" s="182"/>
      <c r="T8" s="181"/>
      <c r="U8" s="54"/>
      <c r="V8" s="54"/>
      <c r="W8" s="64"/>
      <c r="X8" s="64"/>
      <c r="Y8" s="64"/>
      <c r="Z8" s="54"/>
      <c r="AA8" s="54"/>
    </row>
    <row r="9" spans="1:27" ht="18.75" x14ac:dyDescent="0.25">
      <c r="A9" s="73">
        <v>1</v>
      </c>
      <c r="B9" s="74">
        <v>2</v>
      </c>
      <c r="C9" s="74">
        <v>3</v>
      </c>
      <c r="D9" s="139">
        <v>4</v>
      </c>
      <c r="E9" s="74">
        <v>5</v>
      </c>
      <c r="F9" s="74">
        <v>6</v>
      </c>
      <c r="G9" s="74">
        <v>7</v>
      </c>
      <c r="H9" s="74">
        <v>8</v>
      </c>
      <c r="I9" s="75">
        <v>9</v>
      </c>
      <c r="J9" s="75">
        <v>10</v>
      </c>
      <c r="K9" s="75">
        <v>11</v>
      </c>
      <c r="L9" s="75">
        <v>12</v>
      </c>
      <c r="M9" s="75">
        <v>13</v>
      </c>
      <c r="N9" s="75">
        <v>14</v>
      </c>
      <c r="O9" s="75">
        <v>15</v>
      </c>
      <c r="P9" s="75">
        <v>16</v>
      </c>
      <c r="Q9" s="74">
        <v>17</v>
      </c>
      <c r="R9" s="178"/>
      <c r="S9" s="179"/>
      <c r="T9" s="180"/>
      <c r="U9" s="72"/>
      <c r="V9" s="72"/>
      <c r="W9" s="57"/>
      <c r="X9" s="57"/>
      <c r="Y9" s="57"/>
      <c r="Z9" s="72"/>
      <c r="AA9" s="72"/>
    </row>
    <row r="10" spans="1:27" ht="68.25" customHeight="1" x14ac:dyDescent="0.25">
      <c r="A10" s="173" t="s">
        <v>81</v>
      </c>
      <c r="B10" s="170" t="s">
        <v>221</v>
      </c>
      <c r="C10" s="174"/>
      <c r="D10" s="175" t="s">
        <v>29</v>
      </c>
      <c r="E10" s="172" t="s">
        <v>285</v>
      </c>
      <c r="F10" s="172" t="s">
        <v>286</v>
      </c>
      <c r="G10" s="172" t="s">
        <v>285</v>
      </c>
      <c r="H10" s="172"/>
      <c r="I10" s="169">
        <f>I11</f>
        <v>272777.09999999998</v>
      </c>
      <c r="J10" s="169">
        <f t="shared" ref="J10:P10" si="0">J11</f>
        <v>274724.40000000002</v>
      </c>
      <c r="K10" s="169">
        <v>358760.7</v>
      </c>
      <c r="L10" s="169">
        <f t="shared" si="0"/>
        <v>377065</v>
      </c>
      <c r="M10" s="169">
        <f>M11</f>
        <v>360772.8</v>
      </c>
      <c r="N10" s="169">
        <f>N11</f>
        <v>343924.5</v>
      </c>
      <c r="O10" s="169">
        <f>O11</f>
        <v>455648.1</v>
      </c>
      <c r="P10" s="169">
        <f t="shared" si="0"/>
        <v>0</v>
      </c>
      <c r="Q10" s="174" t="s">
        <v>25</v>
      </c>
      <c r="R10" s="178"/>
      <c r="S10" s="183">
        <f>I10+K10+M10+O10</f>
        <v>1447958.7000000002</v>
      </c>
      <c r="T10" s="184">
        <f>J10+L10+N10+P10</f>
        <v>995713.9</v>
      </c>
      <c r="U10" s="54"/>
      <c r="V10" s="54"/>
      <c r="W10" s="64"/>
      <c r="X10" s="64"/>
      <c r="Y10" s="64"/>
      <c r="Z10" s="54"/>
      <c r="AA10" s="54"/>
    </row>
    <row r="11" spans="1:27" ht="212.25" customHeight="1" x14ac:dyDescent="0.25">
      <c r="A11" s="173" t="s">
        <v>27</v>
      </c>
      <c r="B11" s="170" t="s">
        <v>28</v>
      </c>
      <c r="C11" s="175"/>
      <c r="D11" s="175" t="s">
        <v>331</v>
      </c>
      <c r="E11" s="172" t="s">
        <v>285</v>
      </c>
      <c r="F11" s="172" t="s">
        <v>286</v>
      </c>
      <c r="G11" s="172" t="s">
        <v>285</v>
      </c>
      <c r="H11" s="172"/>
      <c r="I11" s="169">
        <v>272777.09999999998</v>
      </c>
      <c r="J11" s="169">
        <v>274724.40000000002</v>
      </c>
      <c r="K11" s="169">
        <v>358760.7</v>
      </c>
      <c r="L11" s="169">
        <f>651789.4-J11</f>
        <v>377065</v>
      </c>
      <c r="M11" s="169">
        <v>360772.8</v>
      </c>
      <c r="N11" s="169">
        <f>995713.9-L11-J11</f>
        <v>343924.5</v>
      </c>
      <c r="O11" s="169">
        <v>455648.1</v>
      </c>
      <c r="P11" s="169">
        <v>0</v>
      </c>
      <c r="Q11" s="170" t="s">
        <v>519</v>
      </c>
      <c r="R11" s="178"/>
      <c r="S11" s="182">
        <v>1447958.7</v>
      </c>
      <c r="T11" s="181"/>
      <c r="U11" s="54"/>
      <c r="V11" s="54"/>
      <c r="W11" s="78">
        <f t="shared" ref="W11:W32" si="1">I11+K11+M11+O11</f>
        <v>1447958.7000000002</v>
      </c>
      <c r="X11" s="78">
        <f t="shared" ref="X11:X32" si="2">J11+L11+N11+P11</f>
        <v>995713.9</v>
      </c>
      <c r="Y11" s="78">
        <f>W11-X11</f>
        <v>452244.80000000016</v>
      </c>
      <c r="Z11" s="54"/>
      <c r="AA11" s="54"/>
    </row>
    <row r="12" spans="1:27" ht="25.5" customHeight="1" x14ac:dyDescent="0.25">
      <c r="A12" s="79" t="s">
        <v>30</v>
      </c>
      <c r="B12" s="262" t="s">
        <v>223</v>
      </c>
      <c r="C12" s="262"/>
      <c r="D12" s="262"/>
      <c r="E12" s="262"/>
      <c r="F12" s="262"/>
      <c r="G12" s="262"/>
      <c r="H12" s="262"/>
      <c r="I12" s="113">
        <f t="shared" ref="I12:P12" si="3">I13+I15+I16+I17+I19+I20+I21+I23+I24+I26+I27+I28+I29+I30+I32+I33+I34+I35+I36+I38+I40+I41+I42+I45+I46+I47+I49+I50+I14+I18+I22+I39+I51+I48</f>
        <v>4491136.5</v>
      </c>
      <c r="J12" s="113">
        <f t="shared" si="3"/>
        <v>4533779.5999999996</v>
      </c>
      <c r="K12" s="113">
        <f t="shared" si="3"/>
        <v>3292020.8</v>
      </c>
      <c r="L12" s="113">
        <f t="shared" si="3"/>
        <v>3354826.7000000007</v>
      </c>
      <c r="M12" s="113">
        <f t="shared" si="3"/>
        <v>2837069.9999999995</v>
      </c>
      <c r="N12" s="113">
        <f t="shared" si="3"/>
        <v>2836137.8000000007</v>
      </c>
      <c r="O12" s="113">
        <f t="shared" si="3"/>
        <v>5322934.5999999996</v>
      </c>
      <c r="P12" s="113">
        <f t="shared" si="3"/>
        <v>0</v>
      </c>
      <c r="Q12" s="176"/>
      <c r="R12" s="178"/>
      <c r="S12" s="183">
        <v>15943161.9</v>
      </c>
      <c r="T12" s="185">
        <f>J12+L12+N12+P12</f>
        <v>10724744.100000001</v>
      </c>
      <c r="U12" s="80"/>
      <c r="V12" s="80"/>
      <c r="W12" s="78">
        <f t="shared" si="1"/>
        <v>15943161.899999999</v>
      </c>
      <c r="X12" s="78">
        <f t="shared" si="2"/>
        <v>10724744.100000001</v>
      </c>
      <c r="Y12" s="78">
        <f t="shared" ref="Y12:Y53" si="4">W12-X12</f>
        <v>5218417.799999997</v>
      </c>
      <c r="Z12" s="80"/>
      <c r="AA12" s="80"/>
    </row>
    <row r="13" spans="1:27" ht="141" customHeight="1" x14ac:dyDescent="0.25">
      <c r="A13" s="173" t="s">
        <v>27</v>
      </c>
      <c r="B13" s="170" t="s">
        <v>32</v>
      </c>
      <c r="C13" s="174"/>
      <c r="D13" s="175" t="s">
        <v>330</v>
      </c>
      <c r="E13" s="172" t="s">
        <v>285</v>
      </c>
      <c r="F13" s="172" t="s">
        <v>286</v>
      </c>
      <c r="G13" s="172" t="s">
        <v>285</v>
      </c>
      <c r="H13" s="172"/>
      <c r="I13" s="169">
        <v>94097.5</v>
      </c>
      <c r="J13" s="169">
        <v>94097.5</v>
      </c>
      <c r="K13" s="169">
        <v>95414.3</v>
      </c>
      <c r="L13" s="169">
        <f>219718.4-J13</f>
        <v>125620.9</v>
      </c>
      <c r="M13" s="169">
        <v>97084.4</v>
      </c>
      <c r="N13" s="169">
        <f>286586.4-L13-J13</f>
        <v>66868.000000000029</v>
      </c>
      <c r="O13" s="169">
        <v>63065.1</v>
      </c>
      <c r="P13" s="169">
        <v>0</v>
      </c>
      <c r="Q13" s="170" t="s">
        <v>519</v>
      </c>
      <c r="R13" s="178"/>
      <c r="S13" s="182">
        <v>349661.3</v>
      </c>
      <c r="T13" s="181"/>
      <c r="U13" s="54"/>
      <c r="V13" s="54"/>
      <c r="W13" s="78">
        <f t="shared" si="1"/>
        <v>349661.29999999993</v>
      </c>
      <c r="X13" s="78">
        <f t="shared" si="2"/>
        <v>286586.40000000002</v>
      </c>
      <c r="Y13" s="78">
        <f t="shared" si="4"/>
        <v>63074.899999999907</v>
      </c>
      <c r="Z13" s="54"/>
      <c r="AA13" s="54"/>
    </row>
    <row r="14" spans="1:27" ht="195" customHeight="1" x14ac:dyDescent="0.25">
      <c r="A14" s="173" t="s">
        <v>35</v>
      </c>
      <c r="B14" s="170" t="s">
        <v>224</v>
      </c>
      <c r="C14" s="174"/>
      <c r="D14" s="175" t="s">
        <v>329</v>
      </c>
      <c r="E14" s="172" t="s">
        <v>285</v>
      </c>
      <c r="F14" s="172" t="s">
        <v>286</v>
      </c>
      <c r="G14" s="172" t="s">
        <v>285</v>
      </c>
      <c r="H14" s="172"/>
      <c r="I14" s="169">
        <v>996.6</v>
      </c>
      <c r="J14" s="169">
        <v>996.6</v>
      </c>
      <c r="K14" s="169">
        <v>920.5</v>
      </c>
      <c r="L14" s="169">
        <f>2197.5-J14</f>
        <v>1200.9000000000001</v>
      </c>
      <c r="M14" s="169">
        <v>916.2</v>
      </c>
      <c r="N14" s="169">
        <f>2833.2-L14-J14</f>
        <v>635.6999999999997</v>
      </c>
      <c r="O14" s="169">
        <v>1736</v>
      </c>
      <c r="P14" s="169">
        <v>0</v>
      </c>
      <c r="Q14" s="170" t="s">
        <v>519</v>
      </c>
      <c r="R14" s="178"/>
      <c r="S14" s="182">
        <v>4569.3</v>
      </c>
      <c r="T14" s="181"/>
      <c r="U14" s="54"/>
      <c r="V14" s="54"/>
      <c r="W14" s="78">
        <f t="shared" si="1"/>
        <v>4569.3</v>
      </c>
      <c r="X14" s="78">
        <f t="shared" si="2"/>
        <v>2833.2</v>
      </c>
      <c r="Y14" s="78">
        <f t="shared" si="4"/>
        <v>1736.1000000000004</v>
      </c>
      <c r="Z14" s="54"/>
      <c r="AA14" s="54"/>
    </row>
    <row r="15" spans="1:27" ht="138" customHeight="1" x14ac:dyDescent="0.25">
      <c r="A15" s="173" t="s">
        <v>36</v>
      </c>
      <c r="B15" s="170" t="s">
        <v>225</v>
      </c>
      <c r="C15" s="174"/>
      <c r="D15" s="175" t="s">
        <v>329</v>
      </c>
      <c r="E15" s="172" t="s">
        <v>285</v>
      </c>
      <c r="F15" s="172" t="s">
        <v>286</v>
      </c>
      <c r="G15" s="172" t="s">
        <v>285</v>
      </c>
      <c r="H15" s="172"/>
      <c r="I15" s="169">
        <v>5512.9</v>
      </c>
      <c r="J15" s="169">
        <v>5512.9</v>
      </c>
      <c r="K15" s="169">
        <v>5438.8</v>
      </c>
      <c r="L15" s="169">
        <f>12700.8-J15</f>
        <v>7187.9</v>
      </c>
      <c r="M15" s="169">
        <v>5418.8</v>
      </c>
      <c r="N15" s="169">
        <f>16370.5-L15-J15</f>
        <v>3669.7000000000007</v>
      </c>
      <c r="O15" s="169">
        <v>5375.5</v>
      </c>
      <c r="P15" s="169">
        <v>0</v>
      </c>
      <c r="Q15" s="170" t="s">
        <v>519</v>
      </c>
      <c r="R15" s="178"/>
      <c r="S15" s="182">
        <v>21746</v>
      </c>
      <c r="T15" s="181"/>
      <c r="U15" s="54"/>
      <c r="V15" s="54"/>
      <c r="W15" s="78">
        <f>I15+K15+M15+O15</f>
        <v>21746</v>
      </c>
      <c r="X15" s="78">
        <f t="shared" si="2"/>
        <v>16370.5</v>
      </c>
      <c r="Y15" s="78">
        <f t="shared" si="4"/>
        <v>5375.5</v>
      </c>
      <c r="Z15" s="54"/>
      <c r="AA15" s="54"/>
    </row>
    <row r="16" spans="1:27" ht="217.5" customHeight="1" x14ac:dyDescent="0.25">
      <c r="A16" s="173" t="s">
        <v>38</v>
      </c>
      <c r="B16" s="170" t="s">
        <v>297</v>
      </c>
      <c r="C16" s="174"/>
      <c r="D16" s="175" t="s">
        <v>329</v>
      </c>
      <c r="E16" s="171">
        <v>43474</v>
      </c>
      <c r="F16" s="172" t="s">
        <v>222</v>
      </c>
      <c r="G16" s="171">
        <v>43474</v>
      </c>
      <c r="H16" s="171"/>
      <c r="I16" s="169">
        <v>9.3000000000000007</v>
      </c>
      <c r="J16" s="169">
        <v>9.3000000000000007</v>
      </c>
      <c r="K16" s="169">
        <v>18624.8</v>
      </c>
      <c r="L16" s="169">
        <f>18634.1-J16</f>
        <v>18624.8</v>
      </c>
      <c r="M16" s="169">
        <v>108.3</v>
      </c>
      <c r="N16" s="169">
        <f>18742.4-L16-J16</f>
        <v>108.30000000000219</v>
      </c>
      <c r="O16" s="169">
        <v>479.8</v>
      </c>
      <c r="P16" s="169">
        <v>0</v>
      </c>
      <c r="Q16" s="170" t="s">
        <v>519</v>
      </c>
      <c r="R16" s="178"/>
      <c r="S16" s="182">
        <v>19222.2</v>
      </c>
      <c r="T16" s="181"/>
      <c r="U16" s="54"/>
      <c r="V16" s="54"/>
      <c r="W16" s="78">
        <f t="shared" si="1"/>
        <v>19222.199999999997</v>
      </c>
      <c r="X16" s="78">
        <f t="shared" si="2"/>
        <v>18742.400000000001</v>
      </c>
      <c r="Y16" s="78">
        <f t="shared" si="4"/>
        <v>479.79999999999563</v>
      </c>
      <c r="Z16" s="54"/>
      <c r="AA16" s="54"/>
    </row>
    <row r="17" spans="1:27" ht="161.25" customHeight="1" x14ac:dyDescent="0.25">
      <c r="A17" s="173" t="s">
        <v>39</v>
      </c>
      <c r="B17" s="170" t="s">
        <v>226</v>
      </c>
      <c r="C17" s="174"/>
      <c r="D17" s="175" t="s">
        <v>325</v>
      </c>
      <c r="E17" s="172" t="s">
        <v>285</v>
      </c>
      <c r="F17" s="172" t="s">
        <v>286</v>
      </c>
      <c r="G17" s="172" t="s">
        <v>285</v>
      </c>
      <c r="H17" s="172"/>
      <c r="I17" s="169">
        <v>45545</v>
      </c>
      <c r="J17" s="169">
        <v>45559.199999999997</v>
      </c>
      <c r="K17" s="169">
        <v>31378.400000000001</v>
      </c>
      <c r="L17" s="169">
        <f>76937.6-J17</f>
        <v>31378.400000000009</v>
      </c>
      <c r="M17" s="169">
        <v>34507.800000000003</v>
      </c>
      <c r="N17" s="169">
        <f>111430.2-L17-J17</f>
        <v>34492.599999999991</v>
      </c>
      <c r="O17" s="169">
        <v>47597.599999999999</v>
      </c>
      <c r="P17" s="169">
        <v>0</v>
      </c>
      <c r="Q17" s="170" t="s">
        <v>519</v>
      </c>
      <c r="R17" s="178"/>
      <c r="S17" s="182">
        <v>159028.79999999999</v>
      </c>
      <c r="T17" s="181"/>
      <c r="U17" s="54"/>
      <c r="V17" s="54"/>
      <c r="W17" s="78">
        <f t="shared" si="1"/>
        <v>159028.79999999999</v>
      </c>
      <c r="X17" s="78">
        <f t="shared" si="2"/>
        <v>111430.2</v>
      </c>
      <c r="Y17" s="78">
        <f t="shared" si="4"/>
        <v>47598.599999999991</v>
      </c>
      <c r="Z17" s="54"/>
      <c r="AA17" s="54"/>
    </row>
    <row r="18" spans="1:27" ht="136.5" customHeight="1" x14ac:dyDescent="0.25">
      <c r="A18" s="173" t="s">
        <v>41</v>
      </c>
      <c r="B18" s="170" t="s">
        <v>227</v>
      </c>
      <c r="C18" s="174"/>
      <c r="D18" s="175" t="s">
        <v>329</v>
      </c>
      <c r="E18" s="172" t="s">
        <v>285</v>
      </c>
      <c r="F18" s="172" t="s">
        <v>286</v>
      </c>
      <c r="G18" s="172" t="s">
        <v>285</v>
      </c>
      <c r="H18" s="172"/>
      <c r="I18" s="169">
        <v>37</v>
      </c>
      <c r="J18" s="169">
        <v>37</v>
      </c>
      <c r="K18" s="169">
        <v>33.1</v>
      </c>
      <c r="L18" s="169">
        <f>70.1-J18</f>
        <v>33.099999999999994</v>
      </c>
      <c r="M18" s="169">
        <v>33</v>
      </c>
      <c r="N18" s="169">
        <f>103.1-L18-J18</f>
        <v>33</v>
      </c>
      <c r="O18" s="169">
        <v>175.1</v>
      </c>
      <c r="P18" s="169">
        <v>0</v>
      </c>
      <c r="Q18" s="170" t="s">
        <v>519</v>
      </c>
      <c r="R18" s="178"/>
      <c r="S18" s="182">
        <v>278.2</v>
      </c>
      <c r="T18" s="181"/>
      <c r="U18" s="54"/>
      <c r="V18" s="54"/>
      <c r="W18" s="78">
        <f t="shared" si="1"/>
        <v>278.2</v>
      </c>
      <c r="X18" s="78">
        <f t="shared" si="2"/>
        <v>103.1</v>
      </c>
      <c r="Y18" s="78">
        <f t="shared" si="4"/>
        <v>175.1</v>
      </c>
      <c r="Z18" s="54"/>
      <c r="AA18" s="54"/>
    </row>
    <row r="19" spans="1:27" ht="342" customHeight="1" x14ac:dyDescent="0.25">
      <c r="A19" s="173" t="s">
        <v>43</v>
      </c>
      <c r="B19" s="170" t="s">
        <v>228</v>
      </c>
      <c r="C19" s="174"/>
      <c r="D19" s="175" t="s">
        <v>325</v>
      </c>
      <c r="E19" s="172" t="s">
        <v>285</v>
      </c>
      <c r="F19" s="172" t="s">
        <v>286</v>
      </c>
      <c r="G19" s="172" t="s">
        <v>285</v>
      </c>
      <c r="H19" s="172"/>
      <c r="I19" s="169">
        <v>626799.5</v>
      </c>
      <c r="J19" s="169">
        <v>634065.4</v>
      </c>
      <c r="K19" s="169">
        <v>644295.1</v>
      </c>
      <c r="L19" s="169">
        <f>1294606.6-'План реализации'!J19</f>
        <v>660541.20000000007</v>
      </c>
      <c r="M19" s="169">
        <v>659183.80000000005</v>
      </c>
      <c r="N19" s="169">
        <f>1954596.7-L19-J19</f>
        <v>659990.1</v>
      </c>
      <c r="O19" s="169">
        <v>492087.2</v>
      </c>
      <c r="P19" s="169">
        <v>0</v>
      </c>
      <c r="Q19" s="170" t="s">
        <v>519</v>
      </c>
      <c r="R19" s="178"/>
      <c r="S19" s="182">
        <v>2422365.6</v>
      </c>
      <c r="T19" s="181"/>
      <c r="U19" s="54"/>
      <c r="V19" s="54"/>
      <c r="W19" s="78">
        <f t="shared" si="1"/>
        <v>2422365.6</v>
      </c>
      <c r="X19" s="78">
        <f t="shared" si="2"/>
        <v>1954596.7000000002</v>
      </c>
      <c r="Y19" s="78">
        <f t="shared" si="4"/>
        <v>467768.89999999991</v>
      </c>
      <c r="Z19" s="54"/>
      <c r="AA19" s="54"/>
    </row>
    <row r="20" spans="1:27" ht="240" customHeight="1" x14ac:dyDescent="0.25">
      <c r="A20" s="173" t="s">
        <v>45</v>
      </c>
      <c r="B20" s="170" t="s">
        <v>229</v>
      </c>
      <c r="C20" s="174"/>
      <c r="D20" s="175" t="s">
        <v>326</v>
      </c>
      <c r="E20" s="172" t="s">
        <v>285</v>
      </c>
      <c r="F20" s="172" t="s">
        <v>286</v>
      </c>
      <c r="G20" s="172" t="s">
        <v>285</v>
      </c>
      <c r="H20" s="172"/>
      <c r="I20" s="169">
        <v>396560.4</v>
      </c>
      <c r="J20" s="169">
        <v>396971.4</v>
      </c>
      <c r="K20" s="169">
        <v>246633.2</v>
      </c>
      <c r="L20" s="169">
        <f>643275.4-J20</f>
        <v>246304</v>
      </c>
      <c r="M20" s="169">
        <v>219845.1</v>
      </c>
      <c r="N20" s="169">
        <f>863125.5-L20-J20</f>
        <v>219850.09999999998</v>
      </c>
      <c r="O20" s="169">
        <v>321079.7</v>
      </c>
      <c r="P20" s="169">
        <v>0</v>
      </c>
      <c r="Q20" s="170" t="s">
        <v>519</v>
      </c>
      <c r="R20" s="178"/>
      <c r="S20" s="182">
        <v>1184118.3999999999</v>
      </c>
      <c r="T20" s="181"/>
      <c r="U20" s="54"/>
      <c r="V20" s="54"/>
      <c r="W20" s="78">
        <f>I20+K20+M20+O20</f>
        <v>1184118.4000000001</v>
      </c>
      <c r="X20" s="78">
        <f t="shared" si="2"/>
        <v>863125.5</v>
      </c>
      <c r="Y20" s="78">
        <f t="shared" si="4"/>
        <v>320992.90000000014</v>
      </c>
      <c r="Z20" s="54"/>
      <c r="AA20" s="54"/>
    </row>
    <row r="21" spans="1:27" ht="343.5" customHeight="1" x14ac:dyDescent="0.25">
      <c r="A21" s="173" t="s">
        <v>47</v>
      </c>
      <c r="B21" s="170" t="s">
        <v>447</v>
      </c>
      <c r="C21" s="174"/>
      <c r="D21" s="175" t="s">
        <v>327</v>
      </c>
      <c r="E21" s="172" t="s">
        <v>285</v>
      </c>
      <c r="F21" s="172" t="s">
        <v>286</v>
      </c>
      <c r="G21" s="172" t="s">
        <v>285</v>
      </c>
      <c r="H21" s="172"/>
      <c r="I21" s="169">
        <v>1047129.9</v>
      </c>
      <c r="J21" s="169">
        <v>1064035.8</v>
      </c>
      <c r="K21" s="169">
        <v>795609.2</v>
      </c>
      <c r="L21" s="169">
        <f>1860997.6-J21</f>
        <v>796961.8</v>
      </c>
      <c r="M21" s="169">
        <v>530873.1</v>
      </c>
      <c r="N21" s="169">
        <f>2411909.7-L21-J21</f>
        <v>550912.10000000009</v>
      </c>
      <c r="O21" s="169">
        <v>1720770.4</v>
      </c>
      <c r="P21" s="169">
        <v>0</v>
      </c>
      <c r="Q21" s="170" t="s">
        <v>519</v>
      </c>
      <c r="R21" s="178"/>
      <c r="S21" s="182">
        <v>4094382.6</v>
      </c>
      <c r="T21" s="180"/>
      <c r="U21" s="72"/>
      <c r="V21" s="72"/>
      <c r="W21" s="78">
        <f t="shared" si="1"/>
        <v>4094382.6</v>
      </c>
      <c r="X21" s="78">
        <f t="shared" si="2"/>
        <v>2411909.7000000002</v>
      </c>
      <c r="Y21" s="78">
        <f t="shared" si="4"/>
        <v>1682472.9</v>
      </c>
      <c r="Z21" s="72"/>
      <c r="AA21" s="72"/>
    </row>
    <row r="22" spans="1:27" ht="408.75" customHeight="1" x14ac:dyDescent="0.25">
      <c r="A22" s="142" t="s">
        <v>48</v>
      </c>
      <c r="B22" s="170" t="s">
        <v>230</v>
      </c>
      <c r="C22" s="174"/>
      <c r="D22" s="175" t="s">
        <v>333</v>
      </c>
      <c r="E22" s="171">
        <v>43839</v>
      </c>
      <c r="F22" s="172" t="s">
        <v>286</v>
      </c>
      <c r="G22" s="171">
        <v>43839</v>
      </c>
      <c r="H22" s="172"/>
      <c r="I22" s="169">
        <v>4941.5</v>
      </c>
      <c r="J22" s="169">
        <v>5072.3</v>
      </c>
      <c r="K22" s="169">
        <v>4890.6000000000004</v>
      </c>
      <c r="L22" s="169">
        <f>9969-J22</f>
        <v>4896.7</v>
      </c>
      <c r="M22" s="169">
        <v>5268.2</v>
      </c>
      <c r="N22" s="169">
        <f>(6022.7+9296.2)-L22-J22</f>
        <v>5349.9000000000005</v>
      </c>
      <c r="O22" s="169">
        <v>5087.8999999999996</v>
      </c>
      <c r="P22" s="169">
        <v>0</v>
      </c>
      <c r="Q22" s="170" t="s">
        <v>519</v>
      </c>
      <c r="R22" s="178"/>
      <c r="S22" s="182">
        <v>20188.2</v>
      </c>
      <c r="T22" s="181"/>
      <c r="U22" s="54"/>
      <c r="V22" s="54"/>
      <c r="W22" s="78">
        <f t="shared" si="1"/>
        <v>20188.199999999997</v>
      </c>
      <c r="X22" s="78">
        <f t="shared" si="2"/>
        <v>15318.900000000001</v>
      </c>
      <c r="Y22" s="78">
        <f t="shared" si="4"/>
        <v>4869.2999999999956</v>
      </c>
      <c r="Z22" s="54"/>
      <c r="AA22" s="54"/>
    </row>
    <row r="23" spans="1:27" ht="256.5" customHeight="1" x14ac:dyDescent="0.25">
      <c r="A23" s="142" t="s">
        <v>49</v>
      </c>
      <c r="B23" s="170" t="s">
        <v>446</v>
      </c>
      <c r="C23" s="174"/>
      <c r="D23" s="175" t="s">
        <v>332</v>
      </c>
      <c r="E23" s="171">
        <v>43839</v>
      </c>
      <c r="F23" s="172" t="s">
        <v>286</v>
      </c>
      <c r="G23" s="171">
        <v>43839</v>
      </c>
      <c r="H23" s="172"/>
      <c r="I23" s="169">
        <v>1130005.5</v>
      </c>
      <c r="J23" s="169">
        <v>1141620.3999999999</v>
      </c>
      <c r="K23" s="169">
        <v>824386</v>
      </c>
      <c r="L23" s="169">
        <f>1971856.8-J23</f>
        <v>830236.40000000014</v>
      </c>
      <c r="M23" s="169">
        <v>666074.1</v>
      </c>
      <c r="N23" s="169">
        <f>2657865.2-L23-J23</f>
        <v>686008.40000000014</v>
      </c>
      <c r="O23" s="169">
        <v>1491416</v>
      </c>
      <c r="P23" s="169">
        <v>0</v>
      </c>
      <c r="Q23" s="170" t="s">
        <v>519</v>
      </c>
      <c r="R23" s="178"/>
      <c r="S23" s="182">
        <v>4111881.6</v>
      </c>
      <c r="T23" s="181"/>
      <c r="U23" s="54"/>
      <c r="V23" s="54"/>
      <c r="W23" s="78">
        <f>I23+K23+M23+O23</f>
        <v>4111881.6</v>
      </c>
      <c r="X23" s="78">
        <f t="shared" si="2"/>
        <v>2657865.2000000002</v>
      </c>
      <c r="Y23" s="78">
        <f t="shared" si="4"/>
        <v>1454016.4</v>
      </c>
      <c r="Z23" s="54"/>
      <c r="AA23" s="54"/>
    </row>
    <row r="24" spans="1:27" ht="324" customHeight="1" x14ac:dyDescent="0.25">
      <c r="A24" s="256" t="s">
        <v>50</v>
      </c>
      <c r="B24" s="248" t="s">
        <v>231</v>
      </c>
      <c r="C24" s="260"/>
      <c r="D24" s="259" t="s">
        <v>334</v>
      </c>
      <c r="E24" s="250" t="s">
        <v>285</v>
      </c>
      <c r="F24" s="250" t="s">
        <v>286</v>
      </c>
      <c r="G24" s="250" t="s">
        <v>285</v>
      </c>
      <c r="H24" s="250"/>
      <c r="I24" s="251">
        <v>1286.5</v>
      </c>
      <c r="J24" s="251">
        <v>1286.5</v>
      </c>
      <c r="K24" s="251">
        <v>1290.9000000000001</v>
      </c>
      <c r="L24" s="251">
        <f>2960.8-J24</f>
        <v>1674.3000000000002</v>
      </c>
      <c r="M24" s="251">
        <v>1260.0999999999999</v>
      </c>
      <c r="N24" s="251">
        <f>3837.5-L24-J24</f>
        <v>876.69999999999982</v>
      </c>
      <c r="O24" s="251">
        <v>1815</v>
      </c>
      <c r="P24" s="251">
        <v>0</v>
      </c>
      <c r="Q24" s="248" t="s">
        <v>519</v>
      </c>
      <c r="R24" s="178"/>
      <c r="S24" s="182">
        <v>5652.5</v>
      </c>
      <c r="T24" s="181"/>
      <c r="U24" s="54"/>
      <c r="V24" s="54"/>
      <c r="W24" s="78">
        <f t="shared" si="1"/>
        <v>5652.5</v>
      </c>
      <c r="X24" s="78">
        <f t="shared" si="2"/>
        <v>3837.5</v>
      </c>
      <c r="Y24" s="78">
        <f t="shared" si="4"/>
        <v>1815</v>
      </c>
      <c r="Z24" s="54"/>
      <c r="AA24" s="54"/>
    </row>
    <row r="25" spans="1:27" ht="131.25" customHeight="1" x14ac:dyDescent="0.25">
      <c r="A25" s="256"/>
      <c r="B25" s="248"/>
      <c r="C25" s="260"/>
      <c r="D25" s="259"/>
      <c r="E25" s="250"/>
      <c r="F25" s="250"/>
      <c r="G25" s="250"/>
      <c r="H25" s="250"/>
      <c r="I25" s="251"/>
      <c r="J25" s="251"/>
      <c r="K25" s="251"/>
      <c r="L25" s="251"/>
      <c r="M25" s="251"/>
      <c r="N25" s="251"/>
      <c r="O25" s="251"/>
      <c r="P25" s="251"/>
      <c r="Q25" s="248"/>
      <c r="R25" s="178"/>
      <c r="S25" s="182"/>
      <c r="T25" s="181"/>
      <c r="U25" s="54"/>
      <c r="V25" s="54"/>
      <c r="W25" s="78">
        <f t="shared" si="1"/>
        <v>0</v>
      </c>
      <c r="X25" s="78">
        <f t="shared" si="2"/>
        <v>0</v>
      </c>
      <c r="Y25" s="78">
        <f t="shared" si="4"/>
        <v>0</v>
      </c>
      <c r="Z25" s="54"/>
      <c r="AA25" s="54"/>
    </row>
    <row r="26" spans="1:27" ht="409.5" customHeight="1" x14ac:dyDescent="0.25">
      <c r="A26" s="132" t="s">
        <v>51</v>
      </c>
      <c r="B26" s="170" t="s">
        <v>336</v>
      </c>
      <c r="C26" s="170"/>
      <c r="D26" s="175" t="s">
        <v>335</v>
      </c>
      <c r="E26" s="172" t="s">
        <v>285</v>
      </c>
      <c r="F26" s="172" t="s">
        <v>286</v>
      </c>
      <c r="G26" s="172" t="s">
        <v>285</v>
      </c>
      <c r="H26" s="172"/>
      <c r="I26" s="169">
        <v>2817.2</v>
      </c>
      <c r="J26" s="169">
        <v>2826.3</v>
      </c>
      <c r="K26" s="169">
        <v>2828.9</v>
      </c>
      <c r="L26" s="169">
        <f>6352-J26</f>
        <v>3525.7</v>
      </c>
      <c r="M26" s="169">
        <v>2708.1</v>
      </c>
      <c r="N26" s="169">
        <f>8354.2-L26-J26</f>
        <v>2002.2000000000007</v>
      </c>
      <c r="O26" s="169">
        <v>3921.2</v>
      </c>
      <c r="P26" s="169">
        <v>0</v>
      </c>
      <c r="Q26" s="170" t="s">
        <v>519</v>
      </c>
      <c r="R26" s="178"/>
      <c r="S26" s="182">
        <v>12275.4</v>
      </c>
      <c r="T26" s="186"/>
      <c r="U26" s="82"/>
      <c r="V26" s="82"/>
      <c r="W26" s="78">
        <f t="shared" si="1"/>
        <v>12275.400000000001</v>
      </c>
      <c r="X26" s="78">
        <f t="shared" si="2"/>
        <v>8354.2000000000007</v>
      </c>
      <c r="Y26" s="78">
        <f t="shared" si="4"/>
        <v>3921.2000000000007</v>
      </c>
      <c r="Z26" s="82"/>
      <c r="AA26" s="82"/>
    </row>
    <row r="27" spans="1:27" ht="99" customHeight="1" x14ac:dyDescent="0.25">
      <c r="A27" s="173" t="s">
        <v>52</v>
      </c>
      <c r="B27" s="170" t="s">
        <v>232</v>
      </c>
      <c r="C27" s="174"/>
      <c r="D27" s="175" t="s">
        <v>337</v>
      </c>
      <c r="E27" s="172" t="s">
        <v>285</v>
      </c>
      <c r="F27" s="172" t="s">
        <v>286</v>
      </c>
      <c r="G27" s="172" t="s">
        <v>285</v>
      </c>
      <c r="H27" s="172"/>
      <c r="I27" s="169">
        <v>622.70000000000005</v>
      </c>
      <c r="J27" s="169">
        <v>698.7</v>
      </c>
      <c r="K27" s="169">
        <v>933.1</v>
      </c>
      <c r="L27" s="169">
        <f>1560.5-J27</f>
        <v>861.8</v>
      </c>
      <c r="M27" s="169">
        <v>114.4</v>
      </c>
      <c r="N27" s="169">
        <f>1670.2-L27-J27</f>
        <v>109.70000000000005</v>
      </c>
      <c r="O27" s="169">
        <v>2010.8</v>
      </c>
      <c r="P27" s="169">
        <v>0</v>
      </c>
      <c r="Q27" s="170" t="s">
        <v>519</v>
      </c>
      <c r="R27" s="178"/>
      <c r="S27" s="182">
        <v>3681</v>
      </c>
      <c r="T27" s="181"/>
      <c r="U27" s="54"/>
      <c r="V27" s="54"/>
      <c r="W27" s="78">
        <f t="shared" si="1"/>
        <v>3681</v>
      </c>
      <c r="X27" s="78">
        <f t="shared" si="2"/>
        <v>1670.2</v>
      </c>
      <c r="Y27" s="78">
        <f t="shared" si="4"/>
        <v>2010.8</v>
      </c>
      <c r="Z27" s="54"/>
      <c r="AA27" s="54"/>
    </row>
    <row r="28" spans="1:27" ht="277.5" customHeight="1" x14ac:dyDescent="0.25">
      <c r="A28" s="173" t="s">
        <v>55</v>
      </c>
      <c r="B28" s="170" t="s">
        <v>289</v>
      </c>
      <c r="C28" s="174"/>
      <c r="D28" s="175" t="s">
        <v>335</v>
      </c>
      <c r="E28" s="172" t="s">
        <v>285</v>
      </c>
      <c r="F28" s="172" t="s">
        <v>286</v>
      </c>
      <c r="G28" s="172" t="s">
        <v>285</v>
      </c>
      <c r="H28" s="172"/>
      <c r="I28" s="169">
        <v>21.5</v>
      </c>
      <c r="J28" s="169">
        <v>21.5</v>
      </c>
      <c r="K28" s="169">
        <v>8</v>
      </c>
      <c r="L28" s="169">
        <f>29.5-J28</f>
        <v>8</v>
      </c>
      <c r="M28" s="169">
        <v>10.5</v>
      </c>
      <c r="N28" s="169">
        <f>40-L28-J28</f>
        <v>10.5</v>
      </c>
      <c r="O28" s="169">
        <v>43.2</v>
      </c>
      <c r="P28" s="169">
        <v>0</v>
      </c>
      <c r="Q28" s="170" t="s">
        <v>519</v>
      </c>
      <c r="R28" s="178"/>
      <c r="S28" s="182">
        <v>83.2</v>
      </c>
      <c r="T28" s="181"/>
      <c r="U28" s="54"/>
      <c r="V28" s="54"/>
      <c r="W28" s="78">
        <f t="shared" si="1"/>
        <v>83.2</v>
      </c>
      <c r="X28" s="78">
        <f t="shared" si="2"/>
        <v>40</v>
      </c>
      <c r="Y28" s="78">
        <f t="shared" si="4"/>
        <v>43.2</v>
      </c>
      <c r="Z28" s="54"/>
      <c r="AA28" s="54"/>
    </row>
    <row r="29" spans="1:27" ht="338.25" customHeight="1" x14ac:dyDescent="0.25">
      <c r="A29" s="173" t="s">
        <v>56</v>
      </c>
      <c r="B29" s="170" t="s">
        <v>448</v>
      </c>
      <c r="C29" s="174"/>
      <c r="D29" s="175" t="s">
        <v>335</v>
      </c>
      <c r="E29" s="172" t="s">
        <v>287</v>
      </c>
      <c r="F29" s="81" t="s">
        <v>286</v>
      </c>
      <c r="G29" s="172" t="s">
        <v>287</v>
      </c>
      <c r="H29" s="172"/>
      <c r="I29" s="169">
        <v>475.6</v>
      </c>
      <c r="J29" s="169">
        <v>475.6</v>
      </c>
      <c r="K29" s="169">
        <v>89.7</v>
      </c>
      <c r="L29" s="169">
        <f>565.3-J29</f>
        <v>89.699999999999932</v>
      </c>
      <c r="M29" s="169">
        <v>134.4</v>
      </c>
      <c r="N29" s="169">
        <f>722.9-L29-J29</f>
        <v>157.60000000000002</v>
      </c>
      <c r="O29" s="169">
        <v>195.3</v>
      </c>
      <c r="P29" s="169">
        <v>0</v>
      </c>
      <c r="Q29" s="170" t="s">
        <v>519</v>
      </c>
      <c r="R29" s="178"/>
      <c r="S29" s="182">
        <v>895</v>
      </c>
      <c r="T29" s="181"/>
      <c r="U29" s="54"/>
      <c r="V29" s="54"/>
      <c r="W29" s="78">
        <f t="shared" si="1"/>
        <v>895</v>
      </c>
      <c r="X29" s="78">
        <f t="shared" si="2"/>
        <v>722.9</v>
      </c>
      <c r="Y29" s="78">
        <f t="shared" si="4"/>
        <v>172.10000000000002</v>
      </c>
      <c r="Z29" s="54"/>
      <c r="AA29" s="54"/>
    </row>
    <row r="30" spans="1:27" ht="387" customHeight="1" x14ac:dyDescent="0.25">
      <c r="A30" s="256" t="s">
        <v>57</v>
      </c>
      <c r="B30" s="248" t="s">
        <v>385</v>
      </c>
      <c r="C30" s="260"/>
      <c r="D30" s="259" t="s">
        <v>335</v>
      </c>
      <c r="E30" s="250" t="s">
        <v>287</v>
      </c>
      <c r="F30" s="250" t="s">
        <v>286</v>
      </c>
      <c r="G30" s="250" t="s">
        <v>287</v>
      </c>
      <c r="H30" s="250"/>
      <c r="I30" s="251">
        <v>357.6</v>
      </c>
      <c r="J30" s="251">
        <v>357.6</v>
      </c>
      <c r="K30" s="251">
        <v>294.89999999999998</v>
      </c>
      <c r="L30" s="251">
        <f>657.1-J30</f>
        <v>299.5</v>
      </c>
      <c r="M30" s="251">
        <v>375.5</v>
      </c>
      <c r="N30" s="251">
        <f>1028-L30-J30</f>
        <v>370.9</v>
      </c>
      <c r="O30" s="251">
        <v>2054</v>
      </c>
      <c r="P30" s="251">
        <v>0</v>
      </c>
      <c r="Q30" s="248" t="s">
        <v>519</v>
      </c>
      <c r="R30" s="178"/>
      <c r="S30" s="182">
        <v>3082</v>
      </c>
      <c r="T30" s="181"/>
      <c r="U30" s="54"/>
      <c r="V30" s="54"/>
      <c r="W30" s="78">
        <f t="shared" si="1"/>
        <v>3082</v>
      </c>
      <c r="X30" s="78">
        <f t="shared" si="2"/>
        <v>1028</v>
      </c>
      <c r="Y30" s="78">
        <f t="shared" si="4"/>
        <v>2054</v>
      </c>
      <c r="Z30" s="54"/>
      <c r="AA30" s="54"/>
    </row>
    <row r="31" spans="1:27" ht="144" customHeight="1" x14ac:dyDescent="0.25">
      <c r="A31" s="256"/>
      <c r="B31" s="248"/>
      <c r="C31" s="260"/>
      <c r="D31" s="259"/>
      <c r="E31" s="250"/>
      <c r="F31" s="250"/>
      <c r="G31" s="250"/>
      <c r="H31" s="250"/>
      <c r="I31" s="251"/>
      <c r="J31" s="251"/>
      <c r="K31" s="251"/>
      <c r="L31" s="251"/>
      <c r="M31" s="251"/>
      <c r="N31" s="251"/>
      <c r="O31" s="251"/>
      <c r="P31" s="251"/>
      <c r="Q31" s="248"/>
      <c r="R31" s="178"/>
      <c r="S31" s="182"/>
      <c r="T31" s="181"/>
      <c r="U31" s="54"/>
      <c r="V31" s="54"/>
      <c r="W31" s="78">
        <f t="shared" si="1"/>
        <v>0</v>
      </c>
      <c r="X31" s="78">
        <f t="shared" si="2"/>
        <v>0</v>
      </c>
      <c r="Y31" s="78">
        <f t="shared" si="4"/>
        <v>0</v>
      </c>
      <c r="Z31" s="54"/>
      <c r="AA31" s="54"/>
    </row>
    <row r="32" spans="1:27" ht="201" customHeight="1" x14ac:dyDescent="0.25">
      <c r="A32" s="173" t="s">
        <v>58</v>
      </c>
      <c r="B32" s="170" t="s">
        <v>339</v>
      </c>
      <c r="C32" s="174"/>
      <c r="D32" s="175" t="s">
        <v>338</v>
      </c>
      <c r="E32" s="172" t="s">
        <v>285</v>
      </c>
      <c r="F32" s="172" t="s">
        <v>286</v>
      </c>
      <c r="G32" s="172" t="s">
        <v>285</v>
      </c>
      <c r="H32" s="172"/>
      <c r="I32" s="169">
        <v>8824.9</v>
      </c>
      <c r="J32" s="169">
        <v>9067.2000000000007</v>
      </c>
      <c r="K32" s="169">
        <v>4384.2</v>
      </c>
      <c r="L32" s="169">
        <f>13687.8-J32</f>
        <v>4620.5999999999985</v>
      </c>
      <c r="M32" s="169">
        <v>11735.8</v>
      </c>
      <c r="N32" s="169">
        <f>25756-L32-J32</f>
        <v>12068.2</v>
      </c>
      <c r="O32" s="169">
        <v>11171.4</v>
      </c>
      <c r="P32" s="169">
        <v>0</v>
      </c>
      <c r="Q32" s="170" t="s">
        <v>519</v>
      </c>
      <c r="R32" s="178"/>
      <c r="S32" s="182">
        <v>36116.300000000003</v>
      </c>
      <c r="T32" s="181"/>
      <c r="U32" s="54"/>
      <c r="V32" s="54"/>
      <c r="W32" s="78">
        <f t="shared" si="1"/>
        <v>36116.299999999996</v>
      </c>
      <c r="X32" s="78">
        <f t="shared" si="2"/>
        <v>25756</v>
      </c>
      <c r="Y32" s="78">
        <f t="shared" si="4"/>
        <v>10360.299999999996</v>
      </c>
      <c r="Z32" s="54"/>
      <c r="AA32" s="54"/>
    </row>
    <row r="33" spans="1:27" ht="123.75" customHeight="1" x14ac:dyDescent="0.25">
      <c r="A33" s="173" t="s">
        <v>60</v>
      </c>
      <c r="B33" s="170" t="s">
        <v>233</v>
      </c>
      <c r="C33" s="174"/>
      <c r="D33" s="175" t="s">
        <v>335</v>
      </c>
      <c r="E33" s="171">
        <v>44105</v>
      </c>
      <c r="F33" s="172" t="s">
        <v>286</v>
      </c>
      <c r="G33" s="171">
        <v>44105</v>
      </c>
      <c r="H33" s="172"/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37.799999999999997</v>
      </c>
      <c r="P33" s="169">
        <v>0</v>
      </c>
      <c r="Q33" s="170" t="s">
        <v>519</v>
      </c>
      <c r="R33" s="178"/>
      <c r="S33" s="182">
        <v>37.799999999999997</v>
      </c>
      <c r="T33" s="181"/>
      <c r="U33" s="54"/>
      <c r="V33" s="54"/>
      <c r="W33" s="78">
        <f t="shared" ref="W33:W53" si="5">I33+K33+M33+O33</f>
        <v>37.799999999999997</v>
      </c>
      <c r="X33" s="78">
        <f t="shared" ref="X33:X53" si="6">J33+L33+N33+P33</f>
        <v>0</v>
      </c>
      <c r="Y33" s="78">
        <f t="shared" si="4"/>
        <v>37.799999999999997</v>
      </c>
      <c r="Z33" s="54"/>
      <c r="AA33" s="54"/>
    </row>
    <row r="34" spans="1:27" ht="122.25" customHeight="1" x14ac:dyDescent="0.25">
      <c r="A34" s="173" t="s">
        <v>62</v>
      </c>
      <c r="B34" s="170" t="s">
        <v>234</v>
      </c>
      <c r="C34" s="174"/>
      <c r="D34" s="175" t="s">
        <v>335</v>
      </c>
      <c r="E34" s="171">
        <v>43922</v>
      </c>
      <c r="F34" s="171">
        <v>44196</v>
      </c>
      <c r="G34" s="171">
        <v>43922</v>
      </c>
      <c r="H34" s="171"/>
      <c r="I34" s="169">
        <v>0</v>
      </c>
      <c r="J34" s="169">
        <v>0</v>
      </c>
      <c r="K34" s="169">
        <v>15</v>
      </c>
      <c r="L34" s="169">
        <v>15</v>
      </c>
      <c r="M34" s="169">
        <v>0</v>
      </c>
      <c r="N34" s="169">
        <v>0</v>
      </c>
      <c r="O34" s="169">
        <v>182.5</v>
      </c>
      <c r="P34" s="169">
        <v>0</v>
      </c>
      <c r="Q34" s="170" t="s">
        <v>519</v>
      </c>
      <c r="R34" s="178"/>
      <c r="S34" s="182">
        <v>197.5</v>
      </c>
      <c r="T34" s="181"/>
      <c r="U34" s="54"/>
      <c r="V34" s="54"/>
      <c r="W34" s="78">
        <f t="shared" si="5"/>
        <v>197.5</v>
      </c>
      <c r="X34" s="78">
        <f t="shared" si="6"/>
        <v>15</v>
      </c>
      <c r="Y34" s="78">
        <f t="shared" si="4"/>
        <v>182.5</v>
      </c>
      <c r="Z34" s="54"/>
      <c r="AA34" s="54"/>
    </row>
    <row r="35" spans="1:27" ht="208.5" customHeight="1" x14ac:dyDescent="0.25">
      <c r="A35" s="173" t="s">
        <v>64</v>
      </c>
      <c r="B35" s="170" t="s">
        <v>449</v>
      </c>
      <c r="C35" s="174"/>
      <c r="D35" s="175" t="s">
        <v>335</v>
      </c>
      <c r="E35" s="171">
        <v>43839</v>
      </c>
      <c r="F35" s="171">
        <v>44196</v>
      </c>
      <c r="G35" s="171">
        <v>43839</v>
      </c>
      <c r="H35" s="171"/>
      <c r="I35" s="169">
        <v>312419.8</v>
      </c>
      <c r="J35" s="169">
        <v>312501.5</v>
      </c>
      <c r="K35" s="169">
        <v>1651.2</v>
      </c>
      <c r="L35" s="169">
        <f>314085.5-J35</f>
        <v>1584</v>
      </c>
      <c r="M35" s="169">
        <v>1917.4</v>
      </c>
      <c r="N35" s="169">
        <f>315944.4-L35-J35</f>
        <v>1858.9000000000233</v>
      </c>
      <c r="O35" s="169">
        <v>9333.2000000000007</v>
      </c>
      <c r="P35" s="169">
        <v>0</v>
      </c>
      <c r="Q35" s="170" t="s">
        <v>519</v>
      </c>
      <c r="R35" s="178"/>
      <c r="S35" s="182">
        <v>325321.59999999998</v>
      </c>
      <c r="T35" s="181"/>
      <c r="U35" s="54"/>
      <c r="V35" s="54"/>
      <c r="W35" s="78">
        <f t="shared" si="5"/>
        <v>325321.60000000003</v>
      </c>
      <c r="X35" s="78">
        <f t="shared" si="6"/>
        <v>315944.40000000002</v>
      </c>
      <c r="Y35" s="78">
        <f t="shared" si="4"/>
        <v>9377.2000000000116</v>
      </c>
      <c r="Z35" s="54"/>
      <c r="AA35" s="54"/>
    </row>
    <row r="36" spans="1:27" ht="252" customHeight="1" x14ac:dyDescent="0.25">
      <c r="A36" s="256" t="s">
        <v>65</v>
      </c>
      <c r="B36" s="248" t="s">
        <v>450</v>
      </c>
      <c r="C36" s="260"/>
      <c r="D36" s="259" t="s">
        <v>335</v>
      </c>
      <c r="E36" s="249">
        <v>43839</v>
      </c>
      <c r="F36" s="249">
        <v>44196</v>
      </c>
      <c r="G36" s="249">
        <v>43839</v>
      </c>
      <c r="H36" s="249"/>
      <c r="I36" s="251">
        <v>24468.6</v>
      </c>
      <c r="J36" s="251">
        <v>24468.6</v>
      </c>
      <c r="K36" s="251">
        <v>24118.799999999999</v>
      </c>
      <c r="L36" s="251">
        <f>56028.3-J36</f>
        <v>31559.700000000004</v>
      </c>
      <c r="M36" s="251">
        <v>23846.799999999999</v>
      </c>
      <c r="N36" s="251">
        <f>72434.3-L36-J36</f>
        <v>16406</v>
      </c>
      <c r="O36" s="251">
        <v>17106.3</v>
      </c>
      <c r="P36" s="251">
        <v>0</v>
      </c>
      <c r="Q36" s="248" t="s">
        <v>519</v>
      </c>
      <c r="R36" s="178"/>
      <c r="S36" s="182">
        <v>89540.5</v>
      </c>
      <c r="T36" s="181"/>
      <c r="U36" s="54"/>
      <c r="V36" s="54"/>
      <c r="W36" s="78">
        <f t="shared" si="5"/>
        <v>89540.5</v>
      </c>
      <c r="X36" s="78">
        <f t="shared" si="6"/>
        <v>72434.3</v>
      </c>
      <c r="Y36" s="78">
        <f t="shared" si="4"/>
        <v>17106.199999999997</v>
      </c>
      <c r="Z36" s="54"/>
      <c r="AA36" s="54"/>
    </row>
    <row r="37" spans="1:27" ht="126" customHeight="1" x14ac:dyDescent="0.25">
      <c r="A37" s="256"/>
      <c r="B37" s="248"/>
      <c r="C37" s="260"/>
      <c r="D37" s="259"/>
      <c r="E37" s="250"/>
      <c r="F37" s="250"/>
      <c r="G37" s="249"/>
      <c r="H37" s="250"/>
      <c r="I37" s="251"/>
      <c r="J37" s="251"/>
      <c r="K37" s="251"/>
      <c r="L37" s="251"/>
      <c r="M37" s="251"/>
      <c r="N37" s="251"/>
      <c r="O37" s="251">
        <v>0</v>
      </c>
      <c r="P37" s="251"/>
      <c r="Q37" s="248"/>
      <c r="R37" s="178"/>
      <c r="S37" s="182"/>
      <c r="T37" s="181"/>
      <c r="U37" s="54"/>
      <c r="V37" s="54"/>
      <c r="W37" s="78">
        <f t="shared" si="5"/>
        <v>0</v>
      </c>
      <c r="X37" s="78">
        <f t="shared" si="6"/>
        <v>0</v>
      </c>
      <c r="Y37" s="78">
        <f t="shared" si="4"/>
        <v>0</v>
      </c>
      <c r="Z37" s="54"/>
      <c r="AA37" s="54"/>
    </row>
    <row r="38" spans="1:27" ht="352.5" customHeight="1" x14ac:dyDescent="0.25">
      <c r="A38" s="173" t="s">
        <v>66</v>
      </c>
      <c r="B38" s="170" t="s">
        <v>451</v>
      </c>
      <c r="C38" s="174"/>
      <c r="D38" s="175" t="s">
        <v>340</v>
      </c>
      <c r="E38" s="171">
        <v>43839</v>
      </c>
      <c r="F38" s="171">
        <v>44196</v>
      </c>
      <c r="G38" s="171">
        <v>43839</v>
      </c>
      <c r="H38" s="171"/>
      <c r="I38" s="169">
        <v>80.099999999999994</v>
      </c>
      <c r="J38" s="169">
        <v>80.099999999999994</v>
      </c>
      <c r="K38" s="169">
        <v>87.5</v>
      </c>
      <c r="L38" s="169">
        <f>167.6-J38</f>
        <v>87.5</v>
      </c>
      <c r="M38" s="169">
        <v>56.4</v>
      </c>
      <c r="N38" s="169">
        <f>224.4-L38-J38</f>
        <v>56.800000000000011</v>
      </c>
      <c r="O38" s="169">
        <v>1606.6</v>
      </c>
      <c r="P38" s="169">
        <v>0</v>
      </c>
      <c r="Q38" s="170" t="s">
        <v>519</v>
      </c>
      <c r="R38" s="178"/>
      <c r="S38" s="182">
        <v>1830.6</v>
      </c>
      <c r="T38" s="181"/>
      <c r="U38" s="54"/>
      <c r="V38" s="54"/>
      <c r="W38" s="78">
        <f t="shared" si="5"/>
        <v>1830.6</v>
      </c>
      <c r="X38" s="78">
        <f t="shared" si="6"/>
        <v>224.4</v>
      </c>
      <c r="Y38" s="78">
        <f t="shared" si="4"/>
        <v>1606.1999999999998</v>
      </c>
      <c r="Z38" s="54"/>
      <c r="AA38" s="54"/>
    </row>
    <row r="39" spans="1:27" ht="365.25" customHeight="1" x14ac:dyDescent="0.25">
      <c r="A39" s="173" t="s">
        <v>67</v>
      </c>
      <c r="B39" s="170" t="s">
        <v>341</v>
      </c>
      <c r="C39" s="174"/>
      <c r="D39" s="175" t="s">
        <v>335</v>
      </c>
      <c r="E39" s="171">
        <v>43839</v>
      </c>
      <c r="F39" s="171">
        <v>44196</v>
      </c>
      <c r="G39" s="171">
        <v>43839</v>
      </c>
      <c r="H39" s="171"/>
      <c r="I39" s="169">
        <v>4381</v>
      </c>
      <c r="J39" s="169">
        <v>4381</v>
      </c>
      <c r="K39" s="169">
        <v>4380.6000000000004</v>
      </c>
      <c r="L39" s="169">
        <f>9188.3-J39</f>
        <v>4807.2999999999993</v>
      </c>
      <c r="M39" s="169">
        <v>4259.7</v>
      </c>
      <c r="N39" s="169">
        <f>13021.3-L39-J39</f>
        <v>3833</v>
      </c>
      <c r="O39" s="169">
        <v>4517.8999999999996</v>
      </c>
      <c r="P39" s="169">
        <v>0</v>
      </c>
      <c r="Q39" s="170" t="s">
        <v>519</v>
      </c>
      <c r="R39" s="178"/>
      <c r="S39" s="182">
        <v>17539.2</v>
      </c>
      <c r="T39" s="181"/>
      <c r="U39" s="54"/>
      <c r="V39" s="54"/>
      <c r="W39" s="78">
        <f t="shared" si="5"/>
        <v>17539.199999999997</v>
      </c>
      <c r="X39" s="78">
        <f t="shared" si="6"/>
        <v>13021.3</v>
      </c>
      <c r="Y39" s="78">
        <f t="shared" si="4"/>
        <v>4517.8999999999978</v>
      </c>
      <c r="Z39" s="54"/>
      <c r="AA39" s="54"/>
    </row>
    <row r="40" spans="1:27" ht="340.5" customHeight="1" x14ac:dyDescent="0.25">
      <c r="A40" s="173" t="s">
        <v>68</v>
      </c>
      <c r="B40" s="170" t="s">
        <v>343</v>
      </c>
      <c r="C40" s="174"/>
      <c r="D40" s="175" t="s">
        <v>342</v>
      </c>
      <c r="E40" s="172" t="s">
        <v>288</v>
      </c>
      <c r="F40" s="172" t="s">
        <v>286</v>
      </c>
      <c r="G40" s="171">
        <v>43839</v>
      </c>
      <c r="H40" s="171"/>
      <c r="I40" s="169">
        <v>27.6</v>
      </c>
      <c r="J40" s="169">
        <v>27.6</v>
      </c>
      <c r="K40" s="169">
        <v>86.8</v>
      </c>
      <c r="L40" s="169">
        <f>125.6-J40</f>
        <v>98</v>
      </c>
      <c r="M40" s="169">
        <v>23.4</v>
      </c>
      <c r="N40" s="169">
        <f>137.8-L40-J40</f>
        <v>12.20000000000001</v>
      </c>
      <c r="O40" s="169">
        <v>1.3</v>
      </c>
      <c r="P40" s="169">
        <v>0</v>
      </c>
      <c r="Q40" s="170" t="s">
        <v>519</v>
      </c>
      <c r="R40" s="178"/>
      <c r="S40" s="182">
        <v>139.1</v>
      </c>
      <c r="T40" s="181"/>
      <c r="U40" s="54"/>
      <c r="V40" s="54"/>
      <c r="W40" s="78">
        <f t="shared" si="5"/>
        <v>139.10000000000002</v>
      </c>
      <c r="X40" s="78">
        <f t="shared" si="6"/>
        <v>137.80000000000001</v>
      </c>
      <c r="Y40" s="78">
        <f t="shared" si="4"/>
        <v>1.3000000000000114</v>
      </c>
      <c r="Z40" s="54"/>
      <c r="AA40" s="54"/>
    </row>
    <row r="41" spans="1:27" ht="198.75" customHeight="1" x14ac:dyDescent="0.25">
      <c r="A41" s="173" t="s">
        <v>69</v>
      </c>
      <c r="B41" s="170" t="s">
        <v>235</v>
      </c>
      <c r="C41" s="174"/>
      <c r="D41" s="175" t="s">
        <v>337</v>
      </c>
      <c r="E41" s="171">
        <v>43839</v>
      </c>
      <c r="F41" s="171">
        <v>44196</v>
      </c>
      <c r="G41" s="171">
        <v>43839</v>
      </c>
      <c r="H41" s="171"/>
      <c r="I41" s="169">
        <v>11785</v>
      </c>
      <c r="J41" s="169">
        <v>11785</v>
      </c>
      <c r="K41" s="169">
        <v>11179.3</v>
      </c>
      <c r="L41" s="169">
        <f>25876.6-J41</f>
        <v>14091.599999999999</v>
      </c>
      <c r="M41" s="169">
        <v>11978</v>
      </c>
      <c r="N41" s="169">
        <f>34942.3-L41-J41</f>
        <v>9065.7000000000044</v>
      </c>
      <c r="O41" s="169">
        <v>12036.2</v>
      </c>
      <c r="P41" s="169">
        <v>0</v>
      </c>
      <c r="Q41" s="170" t="s">
        <v>519</v>
      </c>
      <c r="R41" s="178"/>
      <c r="S41" s="182">
        <v>46978.5</v>
      </c>
      <c r="T41" s="181"/>
      <c r="U41" s="54"/>
      <c r="V41" s="54"/>
      <c r="W41" s="78">
        <f t="shared" si="5"/>
        <v>46978.5</v>
      </c>
      <c r="X41" s="78">
        <f t="shared" si="6"/>
        <v>34942.300000000003</v>
      </c>
      <c r="Y41" s="78">
        <f t="shared" si="4"/>
        <v>12036.199999999997</v>
      </c>
      <c r="Z41" s="54"/>
      <c r="AA41" s="54"/>
    </row>
    <row r="42" spans="1:27" ht="18.75" customHeight="1" x14ac:dyDescent="0.25">
      <c r="A42" s="256" t="s">
        <v>70</v>
      </c>
      <c r="B42" s="248" t="s">
        <v>452</v>
      </c>
      <c r="C42" s="248"/>
      <c r="D42" s="248" t="s">
        <v>344</v>
      </c>
      <c r="E42" s="249">
        <v>43839</v>
      </c>
      <c r="F42" s="249">
        <v>44196</v>
      </c>
      <c r="G42" s="249">
        <v>43839</v>
      </c>
      <c r="H42" s="249"/>
      <c r="I42" s="251">
        <v>382153.7</v>
      </c>
      <c r="J42" s="251">
        <v>385639.6</v>
      </c>
      <c r="K42" s="251">
        <v>238002.5</v>
      </c>
      <c r="L42" s="251">
        <f>620260-J42</f>
        <v>234620.40000000002</v>
      </c>
      <c r="M42" s="251">
        <v>308371.3</v>
      </c>
      <c r="N42" s="251">
        <f>930470.3-L42-J42</f>
        <v>310210.30000000005</v>
      </c>
      <c r="O42" s="251">
        <v>705237.2</v>
      </c>
      <c r="P42" s="251">
        <v>0</v>
      </c>
      <c r="Q42" s="248" t="s">
        <v>519</v>
      </c>
      <c r="R42" s="178"/>
      <c r="S42" s="182">
        <v>1633764.7</v>
      </c>
      <c r="T42" s="181"/>
      <c r="U42" s="54"/>
      <c r="V42" s="54"/>
      <c r="W42" s="78">
        <f t="shared" si="5"/>
        <v>1633764.7</v>
      </c>
      <c r="X42" s="78">
        <f t="shared" si="6"/>
        <v>930470.3</v>
      </c>
      <c r="Y42" s="78">
        <f t="shared" si="4"/>
        <v>703294.39999999991</v>
      </c>
      <c r="Z42" s="54"/>
      <c r="AA42" s="54"/>
    </row>
    <row r="43" spans="1:27" ht="408.75" customHeight="1" x14ac:dyDescent="0.25">
      <c r="A43" s="256"/>
      <c r="B43" s="248"/>
      <c r="C43" s="248"/>
      <c r="D43" s="248"/>
      <c r="E43" s="249"/>
      <c r="F43" s="249"/>
      <c r="G43" s="249"/>
      <c r="H43" s="249"/>
      <c r="I43" s="251"/>
      <c r="J43" s="251"/>
      <c r="K43" s="251"/>
      <c r="L43" s="251"/>
      <c r="M43" s="251"/>
      <c r="N43" s="251"/>
      <c r="O43" s="251"/>
      <c r="P43" s="251"/>
      <c r="Q43" s="248"/>
      <c r="R43" s="178"/>
      <c r="S43" s="119"/>
      <c r="T43" s="181"/>
      <c r="U43" s="54"/>
      <c r="V43" s="54"/>
      <c r="W43" s="78">
        <f t="shared" si="5"/>
        <v>0</v>
      </c>
      <c r="X43" s="78">
        <f t="shared" si="6"/>
        <v>0</v>
      </c>
      <c r="Y43" s="78">
        <f t="shared" si="4"/>
        <v>0</v>
      </c>
      <c r="Z43" s="54"/>
      <c r="AA43" s="54"/>
    </row>
    <row r="44" spans="1:27" ht="409.5" customHeight="1" x14ac:dyDescent="0.25">
      <c r="A44" s="256"/>
      <c r="B44" s="248"/>
      <c r="C44" s="248"/>
      <c r="D44" s="248"/>
      <c r="E44" s="249"/>
      <c r="F44" s="249"/>
      <c r="G44" s="249"/>
      <c r="H44" s="249"/>
      <c r="I44" s="251"/>
      <c r="J44" s="251"/>
      <c r="K44" s="251"/>
      <c r="L44" s="251"/>
      <c r="M44" s="251"/>
      <c r="N44" s="251"/>
      <c r="O44" s="251"/>
      <c r="P44" s="251"/>
      <c r="Q44" s="248"/>
      <c r="R44" s="178"/>
      <c r="S44" s="182"/>
      <c r="T44" s="181"/>
      <c r="U44" s="54"/>
      <c r="V44" s="54"/>
      <c r="W44" s="78">
        <f t="shared" si="5"/>
        <v>0</v>
      </c>
      <c r="X44" s="78">
        <f t="shared" si="6"/>
        <v>0</v>
      </c>
      <c r="Y44" s="78">
        <f t="shared" si="4"/>
        <v>0</v>
      </c>
      <c r="Z44" s="54"/>
      <c r="AA44" s="54"/>
    </row>
    <row r="45" spans="1:27" ht="390.75" customHeight="1" x14ac:dyDescent="0.25">
      <c r="A45" s="173" t="s">
        <v>72</v>
      </c>
      <c r="B45" s="170" t="s">
        <v>453</v>
      </c>
      <c r="C45" s="174"/>
      <c r="D45" s="175" t="s">
        <v>345</v>
      </c>
      <c r="E45" s="171">
        <v>43839</v>
      </c>
      <c r="F45" s="171">
        <v>44196</v>
      </c>
      <c r="G45" s="171">
        <v>43839</v>
      </c>
      <c r="H45" s="171"/>
      <c r="I45" s="169">
        <v>1322.3</v>
      </c>
      <c r="J45" s="169">
        <v>1322.3</v>
      </c>
      <c r="K45" s="169">
        <v>601.29999999999995</v>
      </c>
      <c r="L45" s="169">
        <f>1923.6-J45</f>
        <v>601.29999999999995</v>
      </c>
      <c r="M45" s="169">
        <v>1181.9000000000001</v>
      </c>
      <c r="N45" s="169">
        <f>3105.5-L45-J45</f>
        <v>1181.8999999999999</v>
      </c>
      <c r="O45" s="169">
        <v>11380.1</v>
      </c>
      <c r="P45" s="169">
        <v>0</v>
      </c>
      <c r="Q45" s="170" t="s">
        <v>519</v>
      </c>
      <c r="R45" s="178"/>
      <c r="S45" s="182">
        <v>14485.6</v>
      </c>
      <c r="T45" s="181"/>
      <c r="U45" s="54"/>
      <c r="V45" s="54"/>
      <c r="W45" s="78">
        <f t="shared" si="5"/>
        <v>14485.6</v>
      </c>
      <c r="X45" s="78">
        <f t="shared" si="6"/>
        <v>3105.5</v>
      </c>
      <c r="Y45" s="78">
        <f t="shared" si="4"/>
        <v>11380.1</v>
      </c>
      <c r="Z45" s="54"/>
      <c r="AA45" s="54"/>
    </row>
    <row r="46" spans="1:27" ht="165" customHeight="1" x14ac:dyDescent="0.25">
      <c r="A46" s="173" t="s">
        <v>389</v>
      </c>
      <c r="B46" s="170" t="s">
        <v>388</v>
      </c>
      <c r="C46" s="174"/>
      <c r="D46" s="175" t="s">
        <v>335</v>
      </c>
      <c r="E46" s="171">
        <v>43839</v>
      </c>
      <c r="F46" s="171">
        <v>44196</v>
      </c>
      <c r="G46" s="171">
        <v>43839</v>
      </c>
      <c r="H46" s="171"/>
      <c r="I46" s="169">
        <v>193901.3</v>
      </c>
      <c r="J46" s="169">
        <v>194768.2</v>
      </c>
      <c r="K46" s="169">
        <v>125369.7</v>
      </c>
      <c r="L46" s="169">
        <f>320177.9-J46</f>
        <v>125409.70000000001</v>
      </c>
      <c r="M46" s="169">
        <v>219990.1</v>
      </c>
      <c r="N46" s="169">
        <f>540622.7-L46-J46</f>
        <v>220444.79999999993</v>
      </c>
      <c r="O46" s="169">
        <v>244375.3</v>
      </c>
      <c r="P46" s="169">
        <v>0</v>
      </c>
      <c r="Q46" s="170" t="s">
        <v>519</v>
      </c>
      <c r="R46" s="178"/>
      <c r="S46" s="182">
        <v>783636.4</v>
      </c>
      <c r="T46" s="181"/>
      <c r="U46" s="54"/>
      <c r="V46" s="54"/>
      <c r="W46" s="78">
        <f t="shared" si="5"/>
        <v>783636.39999999991</v>
      </c>
      <c r="X46" s="78">
        <f t="shared" si="6"/>
        <v>540622.69999999995</v>
      </c>
      <c r="Y46" s="78">
        <f t="shared" si="4"/>
        <v>243013.69999999995</v>
      </c>
      <c r="Z46" s="54"/>
      <c r="AA46" s="54"/>
    </row>
    <row r="47" spans="1:27" ht="238.5" customHeight="1" x14ac:dyDescent="0.25">
      <c r="A47" s="173" t="s">
        <v>514</v>
      </c>
      <c r="B47" s="170" t="s">
        <v>513</v>
      </c>
      <c r="C47" s="174"/>
      <c r="D47" s="175" t="s">
        <v>335</v>
      </c>
      <c r="E47" s="171">
        <v>43839</v>
      </c>
      <c r="F47" s="171">
        <v>44013</v>
      </c>
      <c r="G47" s="171">
        <v>43839</v>
      </c>
      <c r="H47" s="171"/>
      <c r="I47" s="169">
        <v>136.5</v>
      </c>
      <c r="J47" s="169">
        <v>136.5</v>
      </c>
      <c r="K47" s="169">
        <v>1</v>
      </c>
      <c r="L47" s="169">
        <f>137.5-J47</f>
        <v>1</v>
      </c>
      <c r="M47" s="169">
        <v>0</v>
      </c>
      <c r="N47" s="169">
        <v>0</v>
      </c>
      <c r="O47" s="169">
        <v>1159</v>
      </c>
      <c r="P47" s="169">
        <v>0</v>
      </c>
      <c r="Q47" s="170" t="s">
        <v>519</v>
      </c>
      <c r="R47" s="178"/>
      <c r="S47" s="182">
        <v>1296.5</v>
      </c>
      <c r="T47" s="181"/>
      <c r="U47" s="54"/>
      <c r="V47" s="54"/>
      <c r="W47" s="78">
        <f t="shared" si="5"/>
        <v>1296.5</v>
      </c>
      <c r="X47" s="78">
        <f t="shared" si="6"/>
        <v>137.5</v>
      </c>
      <c r="Y47" s="78">
        <f t="shared" si="4"/>
        <v>1159</v>
      </c>
      <c r="Z47" s="54"/>
      <c r="AA47" s="54"/>
    </row>
    <row r="48" spans="1:27" ht="275.25" customHeight="1" x14ac:dyDescent="0.25">
      <c r="A48" s="173" t="s">
        <v>299</v>
      </c>
      <c r="B48" s="170" t="s">
        <v>323</v>
      </c>
      <c r="C48" s="174"/>
      <c r="D48" s="175" t="s">
        <v>346</v>
      </c>
      <c r="E48" s="171">
        <v>43922</v>
      </c>
      <c r="F48" s="171">
        <v>44196</v>
      </c>
      <c r="G48" s="171">
        <v>43922</v>
      </c>
      <c r="H48" s="171"/>
      <c r="I48" s="169">
        <v>0</v>
      </c>
      <c r="J48" s="169">
        <v>0</v>
      </c>
      <c r="K48" s="169">
        <v>11973.3</v>
      </c>
      <c r="L48" s="169">
        <v>11973.3</v>
      </c>
      <c r="M48" s="169">
        <v>0</v>
      </c>
      <c r="N48" s="169">
        <v>0</v>
      </c>
      <c r="O48" s="169">
        <v>18537.2</v>
      </c>
      <c r="P48" s="169">
        <v>0</v>
      </c>
      <c r="Q48" s="170" t="s">
        <v>519</v>
      </c>
      <c r="R48" s="178"/>
      <c r="S48" s="182">
        <v>30510.5</v>
      </c>
      <c r="T48" s="181"/>
      <c r="U48" s="54"/>
      <c r="V48" s="54"/>
      <c r="W48" s="78">
        <f t="shared" si="5"/>
        <v>30510.5</v>
      </c>
      <c r="X48" s="78"/>
      <c r="Y48" s="78"/>
      <c r="Z48" s="54"/>
      <c r="AA48" s="54"/>
    </row>
    <row r="49" spans="1:27" ht="260.25" customHeight="1" x14ac:dyDescent="0.25">
      <c r="A49" s="173" t="s">
        <v>76</v>
      </c>
      <c r="B49" s="170" t="s">
        <v>455</v>
      </c>
      <c r="C49" s="174"/>
      <c r="D49" s="175" t="s">
        <v>347</v>
      </c>
      <c r="E49" s="172" t="s">
        <v>290</v>
      </c>
      <c r="F49" s="171">
        <v>44012</v>
      </c>
      <c r="G49" s="172" t="s">
        <v>290</v>
      </c>
      <c r="H49" s="171">
        <v>44012</v>
      </c>
      <c r="I49" s="169">
        <v>0</v>
      </c>
      <c r="J49" s="169">
        <v>0</v>
      </c>
      <c r="K49" s="169">
        <v>56931.7</v>
      </c>
      <c r="L49" s="169">
        <v>56931.7</v>
      </c>
      <c r="M49" s="169">
        <v>0</v>
      </c>
      <c r="N49" s="169">
        <v>0</v>
      </c>
      <c r="O49" s="169">
        <v>0</v>
      </c>
      <c r="P49" s="169">
        <v>0</v>
      </c>
      <c r="Q49" s="170"/>
      <c r="R49" s="178"/>
      <c r="S49" s="182">
        <v>56931.7</v>
      </c>
      <c r="T49" s="181"/>
      <c r="U49" s="54"/>
      <c r="V49" s="54"/>
      <c r="W49" s="78">
        <f t="shared" si="5"/>
        <v>56931.7</v>
      </c>
      <c r="X49" s="78">
        <f t="shared" si="6"/>
        <v>56931.7</v>
      </c>
      <c r="Y49" s="78">
        <f t="shared" si="4"/>
        <v>0</v>
      </c>
      <c r="Z49" s="54"/>
      <c r="AA49" s="54"/>
    </row>
    <row r="50" spans="1:27" ht="278.25" customHeight="1" x14ac:dyDescent="0.25">
      <c r="A50" s="173" t="s">
        <v>77</v>
      </c>
      <c r="B50" s="170" t="s">
        <v>454</v>
      </c>
      <c r="C50" s="174"/>
      <c r="D50" s="175" t="s">
        <v>347</v>
      </c>
      <c r="E50" s="172" t="s">
        <v>290</v>
      </c>
      <c r="F50" s="171">
        <v>44012</v>
      </c>
      <c r="G50" s="172" t="s">
        <v>290</v>
      </c>
      <c r="H50" s="171">
        <v>44012</v>
      </c>
      <c r="I50" s="169">
        <v>0</v>
      </c>
      <c r="J50" s="169">
        <v>0</v>
      </c>
      <c r="K50" s="169">
        <v>36757</v>
      </c>
      <c r="L50" s="169">
        <v>36757</v>
      </c>
      <c r="M50" s="169">
        <v>0</v>
      </c>
      <c r="N50" s="169">
        <v>0</v>
      </c>
      <c r="O50" s="169">
        <v>0</v>
      </c>
      <c r="P50" s="169">
        <v>0</v>
      </c>
      <c r="Q50" s="170"/>
      <c r="R50" s="178"/>
      <c r="S50" s="182">
        <v>36757</v>
      </c>
      <c r="T50" s="181"/>
      <c r="U50" s="54"/>
      <c r="V50" s="54"/>
      <c r="W50" s="78">
        <f t="shared" si="5"/>
        <v>36757</v>
      </c>
      <c r="X50" s="78">
        <f t="shared" si="6"/>
        <v>36757</v>
      </c>
      <c r="Y50" s="78">
        <f t="shared" si="4"/>
        <v>0</v>
      </c>
      <c r="Z50" s="54"/>
      <c r="AA50" s="54"/>
    </row>
    <row r="51" spans="1:27" ht="375" x14ac:dyDescent="0.25">
      <c r="A51" s="173" t="s">
        <v>277</v>
      </c>
      <c r="B51" s="170" t="s">
        <v>349</v>
      </c>
      <c r="C51" s="174"/>
      <c r="D51" s="175" t="s">
        <v>348</v>
      </c>
      <c r="E51" s="171">
        <v>43839</v>
      </c>
      <c r="F51" s="171">
        <v>44196</v>
      </c>
      <c r="G51" s="171">
        <v>43839</v>
      </c>
      <c r="H51" s="172"/>
      <c r="I51" s="169">
        <v>194419.5</v>
      </c>
      <c r="J51" s="169">
        <v>195958</v>
      </c>
      <c r="K51" s="169">
        <v>103411.4</v>
      </c>
      <c r="L51" s="120">
        <f>298181.5-J51</f>
        <v>102223.5</v>
      </c>
      <c r="M51" s="169">
        <v>29793.4</v>
      </c>
      <c r="N51" s="169">
        <f>327736-L51-J51</f>
        <v>29554.5</v>
      </c>
      <c r="O51" s="169">
        <v>127342.8</v>
      </c>
      <c r="P51" s="169">
        <v>0</v>
      </c>
      <c r="Q51" s="170" t="s">
        <v>519</v>
      </c>
      <c r="R51" s="178"/>
      <c r="S51" s="182">
        <v>454967.1</v>
      </c>
      <c r="T51" s="181"/>
      <c r="U51" s="54"/>
      <c r="V51" s="54"/>
      <c r="W51" s="78"/>
      <c r="X51" s="78"/>
      <c r="Y51" s="78"/>
      <c r="Z51" s="54"/>
      <c r="AA51" s="54"/>
    </row>
    <row r="52" spans="1:27" ht="186" customHeight="1" x14ac:dyDescent="0.25">
      <c r="A52" s="173"/>
      <c r="B52" s="170" t="s">
        <v>350</v>
      </c>
      <c r="C52" s="174" t="s">
        <v>25</v>
      </c>
      <c r="D52" s="175" t="s">
        <v>328</v>
      </c>
      <c r="E52" s="172" t="s">
        <v>25</v>
      </c>
      <c r="F52" s="171">
        <v>44196</v>
      </c>
      <c r="G52" s="172" t="s">
        <v>25</v>
      </c>
      <c r="H52" s="171"/>
      <c r="I52" s="169" t="s">
        <v>25</v>
      </c>
      <c r="J52" s="169" t="s">
        <v>25</v>
      </c>
      <c r="K52" s="169" t="s">
        <v>25</v>
      </c>
      <c r="L52" s="169" t="s">
        <v>25</v>
      </c>
      <c r="M52" s="169" t="s">
        <v>25</v>
      </c>
      <c r="N52" s="169" t="s">
        <v>25</v>
      </c>
      <c r="O52" s="169" t="s">
        <v>25</v>
      </c>
      <c r="P52" s="169" t="s">
        <v>25</v>
      </c>
      <c r="Q52" s="169"/>
      <c r="R52" s="178"/>
      <c r="S52" s="182"/>
      <c r="T52" s="180"/>
      <c r="U52" s="72"/>
      <c r="V52" s="72"/>
      <c r="W52" s="78" t="e">
        <f t="shared" si="5"/>
        <v>#VALUE!</v>
      </c>
      <c r="X52" s="78" t="e">
        <f t="shared" si="6"/>
        <v>#VALUE!</v>
      </c>
      <c r="Y52" s="78" t="e">
        <f t="shared" si="4"/>
        <v>#VALUE!</v>
      </c>
      <c r="Z52" s="72"/>
      <c r="AA52" s="72"/>
    </row>
    <row r="53" spans="1:27" ht="236.25" customHeight="1" x14ac:dyDescent="0.25">
      <c r="A53" s="173"/>
      <c r="B53" s="170" t="s">
        <v>236</v>
      </c>
      <c r="C53" s="174" t="s">
        <v>25</v>
      </c>
      <c r="D53" s="175" t="s">
        <v>351</v>
      </c>
      <c r="E53" s="172" t="s">
        <v>25</v>
      </c>
      <c r="F53" s="171">
        <v>44196</v>
      </c>
      <c r="G53" s="172" t="s">
        <v>25</v>
      </c>
      <c r="H53" s="171"/>
      <c r="I53" s="169" t="s">
        <v>25</v>
      </c>
      <c r="J53" s="169" t="s">
        <v>25</v>
      </c>
      <c r="K53" s="169" t="s">
        <v>25</v>
      </c>
      <c r="L53" s="169" t="s">
        <v>25</v>
      </c>
      <c r="M53" s="169" t="s">
        <v>25</v>
      </c>
      <c r="N53" s="169" t="s">
        <v>25</v>
      </c>
      <c r="O53" s="169" t="s">
        <v>25</v>
      </c>
      <c r="P53" s="169" t="s">
        <v>25</v>
      </c>
      <c r="Q53" s="169"/>
      <c r="R53" s="178"/>
      <c r="S53" s="182"/>
      <c r="T53" s="181"/>
      <c r="U53" s="54"/>
      <c r="V53" s="54"/>
      <c r="W53" s="78" t="e">
        <f t="shared" si="5"/>
        <v>#VALUE!</v>
      </c>
      <c r="X53" s="78" t="e">
        <f t="shared" si="6"/>
        <v>#VALUE!</v>
      </c>
      <c r="Y53" s="78" t="e">
        <f t="shared" si="4"/>
        <v>#VALUE!</v>
      </c>
      <c r="Z53" s="54"/>
      <c r="AA53" s="54"/>
    </row>
    <row r="54" spans="1:27" ht="20.25" x14ac:dyDescent="0.25">
      <c r="A54" s="83" t="s">
        <v>79</v>
      </c>
      <c r="B54" s="262" t="s">
        <v>237</v>
      </c>
      <c r="C54" s="262"/>
      <c r="D54" s="262"/>
      <c r="E54" s="262"/>
      <c r="F54" s="262"/>
      <c r="G54" s="262"/>
      <c r="H54" s="262"/>
      <c r="I54" s="113">
        <f t="shared" ref="I54:P54" si="7">I55+I58+I64+I65+I67+I68+I69+I66+I71+I70</f>
        <v>2208059.1</v>
      </c>
      <c r="J54" s="113">
        <f t="shared" si="7"/>
        <v>2208624</v>
      </c>
      <c r="K54" s="113">
        <f t="shared" si="7"/>
        <v>3103795.4</v>
      </c>
      <c r="L54" s="113">
        <f t="shared" si="7"/>
        <v>3805917.8999999994</v>
      </c>
      <c r="M54" s="113">
        <f t="shared" si="7"/>
        <v>3242443.5</v>
      </c>
      <c r="N54" s="113">
        <f t="shared" si="7"/>
        <v>2542540.2999999998</v>
      </c>
      <c r="O54" s="113">
        <f t="shared" si="7"/>
        <v>2893668.5</v>
      </c>
      <c r="P54" s="113">
        <f t="shared" si="7"/>
        <v>0</v>
      </c>
      <c r="Q54" s="169"/>
      <c r="R54" s="178"/>
      <c r="S54" s="183">
        <v>11447966.5</v>
      </c>
      <c r="T54" s="185">
        <f>J54+L54+N54+P54</f>
        <v>8557082.1999999993</v>
      </c>
      <c r="U54" s="54"/>
      <c r="V54" s="54"/>
      <c r="W54" s="78">
        <f t="shared" ref="W54:W74" si="8">I54+K54+M54+O54</f>
        <v>11447966.5</v>
      </c>
      <c r="X54" s="78">
        <f t="shared" ref="X54:X74" si="9">J54+L54+N54+P54</f>
        <v>8557082.1999999993</v>
      </c>
      <c r="Y54" s="78">
        <f t="shared" ref="Y54:Y98" si="10">W54-X54</f>
        <v>2890884.3000000007</v>
      </c>
      <c r="Z54" s="54"/>
      <c r="AA54" s="54"/>
    </row>
    <row r="55" spans="1:27" ht="162" customHeight="1" x14ac:dyDescent="0.25">
      <c r="A55" s="173" t="s">
        <v>81</v>
      </c>
      <c r="B55" s="170" t="s">
        <v>82</v>
      </c>
      <c r="C55" s="174"/>
      <c r="D55" s="175" t="s">
        <v>352</v>
      </c>
      <c r="E55" s="171">
        <v>43839</v>
      </c>
      <c r="F55" s="171">
        <v>44196</v>
      </c>
      <c r="G55" s="171">
        <v>43839</v>
      </c>
      <c r="H55" s="171"/>
      <c r="I55" s="169">
        <v>3136.7</v>
      </c>
      <c r="J55" s="169">
        <f>J56+J57</f>
        <v>3136.6000000000004</v>
      </c>
      <c r="K55" s="169">
        <v>4967</v>
      </c>
      <c r="L55" s="169">
        <f>L56+L57</f>
        <v>4994.2999999999993</v>
      </c>
      <c r="M55" s="169">
        <f>M56+M57</f>
        <v>6288.2000000000007</v>
      </c>
      <c r="N55" s="169">
        <f t="shared" ref="N55:P55" si="11">N56+N57</f>
        <v>6307.4000000000015</v>
      </c>
      <c r="O55" s="169">
        <f t="shared" si="11"/>
        <v>7013.7</v>
      </c>
      <c r="P55" s="169">
        <f t="shared" si="11"/>
        <v>0</v>
      </c>
      <c r="Q55" s="170" t="s">
        <v>519</v>
      </c>
      <c r="R55" s="178"/>
      <c r="S55" s="182"/>
      <c r="T55" s="181"/>
      <c r="U55" s="54"/>
      <c r="V55" s="54"/>
      <c r="W55" s="78">
        <f t="shared" si="8"/>
        <v>21405.600000000002</v>
      </c>
      <c r="X55" s="78">
        <f t="shared" si="9"/>
        <v>14438.300000000001</v>
      </c>
      <c r="Y55" s="78">
        <f t="shared" si="10"/>
        <v>6967.3000000000011</v>
      </c>
      <c r="Z55" s="54"/>
      <c r="AA55" s="54"/>
    </row>
    <row r="56" spans="1:27" ht="84" customHeight="1" x14ac:dyDescent="0.25">
      <c r="A56" s="173" t="s">
        <v>27</v>
      </c>
      <c r="B56" s="170" t="s">
        <v>83</v>
      </c>
      <c r="C56" s="174"/>
      <c r="D56" s="175" t="s">
        <v>25</v>
      </c>
      <c r="E56" s="171">
        <v>43839</v>
      </c>
      <c r="F56" s="171">
        <v>44196</v>
      </c>
      <c r="G56" s="171">
        <v>43839</v>
      </c>
      <c r="H56" s="171"/>
      <c r="I56" s="169">
        <v>1277.8</v>
      </c>
      <c r="J56" s="169">
        <v>1277.7</v>
      </c>
      <c r="K56" s="169">
        <v>2055.1</v>
      </c>
      <c r="L56" s="169">
        <f>3360-J56</f>
        <v>2082.3000000000002</v>
      </c>
      <c r="M56" s="169">
        <v>2868.3</v>
      </c>
      <c r="N56" s="169">
        <f>6247.6-L56-J56</f>
        <v>2887.6000000000004</v>
      </c>
      <c r="O56" s="169">
        <v>3962.1</v>
      </c>
      <c r="P56" s="169">
        <v>0</v>
      </c>
      <c r="Q56" s="170" t="s">
        <v>519</v>
      </c>
      <c r="R56" s="178"/>
      <c r="S56" s="182">
        <v>9808.2999999999993</v>
      </c>
      <c r="T56" s="181"/>
      <c r="U56" s="54"/>
      <c r="V56" s="54"/>
      <c r="W56" s="78">
        <f t="shared" si="8"/>
        <v>10163.299999999999</v>
      </c>
      <c r="X56" s="78">
        <f t="shared" si="9"/>
        <v>6247.6</v>
      </c>
      <c r="Y56" s="78">
        <f t="shared" si="10"/>
        <v>3915.6999999999989</v>
      </c>
      <c r="Z56" s="54"/>
      <c r="AA56" s="54"/>
    </row>
    <row r="57" spans="1:27" ht="81.75" customHeight="1" x14ac:dyDescent="0.25">
      <c r="A57" s="173" t="s">
        <v>84</v>
      </c>
      <c r="B57" s="170" t="s">
        <v>85</v>
      </c>
      <c r="C57" s="174"/>
      <c r="D57" s="175" t="s">
        <v>25</v>
      </c>
      <c r="E57" s="171">
        <v>43839</v>
      </c>
      <c r="F57" s="171">
        <v>44196</v>
      </c>
      <c r="G57" s="171">
        <v>43839</v>
      </c>
      <c r="H57" s="171"/>
      <c r="I57" s="169">
        <v>1858.9</v>
      </c>
      <c r="J57" s="169">
        <v>1858.9</v>
      </c>
      <c r="K57" s="169">
        <v>2911.9</v>
      </c>
      <c r="L57" s="169">
        <f>4770.9-J57</f>
        <v>2911.9999999999995</v>
      </c>
      <c r="M57" s="169">
        <v>3419.9</v>
      </c>
      <c r="N57" s="169">
        <f>8190.7-L57-J57</f>
        <v>3419.8000000000006</v>
      </c>
      <c r="O57" s="169">
        <v>3051.6</v>
      </c>
      <c r="P57" s="169">
        <v>0</v>
      </c>
      <c r="Q57" s="170" t="s">
        <v>519</v>
      </c>
      <c r="R57" s="178"/>
      <c r="S57" s="182">
        <v>11242.3</v>
      </c>
      <c r="T57" s="181"/>
      <c r="U57" s="54"/>
      <c r="V57" s="54"/>
      <c r="W57" s="78">
        <f t="shared" si="8"/>
        <v>11242.300000000001</v>
      </c>
      <c r="X57" s="78">
        <f t="shared" si="9"/>
        <v>8190.7000000000007</v>
      </c>
      <c r="Y57" s="78">
        <f t="shared" si="10"/>
        <v>3051.6000000000004</v>
      </c>
      <c r="Z57" s="54"/>
      <c r="AA57" s="54"/>
    </row>
    <row r="58" spans="1:27" ht="185.25" customHeight="1" x14ac:dyDescent="0.25">
      <c r="A58" s="173" t="s">
        <v>86</v>
      </c>
      <c r="B58" s="170" t="s">
        <v>238</v>
      </c>
      <c r="C58" s="174"/>
      <c r="D58" s="175" t="s">
        <v>352</v>
      </c>
      <c r="E58" s="171">
        <v>43839</v>
      </c>
      <c r="F58" s="171">
        <v>44196</v>
      </c>
      <c r="G58" s="171">
        <v>43839</v>
      </c>
      <c r="H58" s="171"/>
      <c r="I58" s="169">
        <v>2200828.2999999998</v>
      </c>
      <c r="J58" s="169">
        <v>2201393.2999999998</v>
      </c>
      <c r="K58" s="169">
        <v>3087122.4</v>
      </c>
      <c r="L58" s="169">
        <f>L59+L60</f>
        <v>3789217.5999999996</v>
      </c>
      <c r="M58" s="169">
        <v>3227906.1</v>
      </c>
      <c r="N58" s="169">
        <f>N59+N60</f>
        <v>2527983.7000000002</v>
      </c>
      <c r="O58" s="169">
        <v>2869381.8</v>
      </c>
      <c r="P58" s="169">
        <v>0</v>
      </c>
      <c r="Q58" s="170" t="s">
        <v>519</v>
      </c>
      <c r="R58" s="178"/>
      <c r="S58" s="182">
        <v>11385238.6</v>
      </c>
      <c r="T58" s="181"/>
      <c r="U58" s="54"/>
      <c r="V58" s="54"/>
      <c r="W58" s="78">
        <f t="shared" si="8"/>
        <v>11385238.599999998</v>
      </c>
      <c r="X58" s="78">
        <f t="shared" si="9"/>
        <v>8518594.5999999996</v>
      </c>
      <c r="Y58" s="78">
        <f t="shared" si="10"/>
        <v>2866643.9999999981</v>
      </c>
      <c r="Z58" s="54"/>
      <c r="AA58" s="54"/>
    </row>
    <row r="59" spans="1:27" ht="86.25" customHeight="1" x14ac:dyDescent="0.25">
      <c r="A59" s="173" t="s">
        <v>88</v>
      </c>
      <c r="B59" s="170" t="s">
        <v>89</v>
      </c>
      <c r="C59" s="174"/>
      <c r="D59" s="175" t="s">
        <v>25</v>
      </c>
      <c r="E59" s="171">
        <v>43839</v>
      </c>
      <c r="F59" s="171">
        <v>44196</v>
      </c>
      <c r="G59" s="171">
        <v>43839</v>
      </c>
      <c r="H59" s="171"/>
      <c r="I59" s="169">
        <v>136090.4</v>
      </c>
      <c r="J59" s="169">
        <v>136655.4</v>
      </c>
      <c r="K59" s="169">
        <v>182213.8</v>
      </c>
      <c r="L59" s="169">
        <f>320964.5-J59</f>
        <v>184309.1</v>
      </c>
      <c r="M59" s="169">
        <v>200961.3</v>
      </c>
      <c r="N59" s="169">
        <f>522003.2-L59-J59</f>
        <v>201038.69999999998</v>
      </c>
      <c r="O59" s="169">
        <v>290370.09999999998</v>
      </c>
      <c r="P59" s="169">
        <v>0</v>
      </c>
      <c r="Q59" s="170" t="s">
        <v>519</v>
      </c>
      <c r="R59" s="178"/>
      <c r="S59" s="182">
        <v>809635.6</v>
      </c>
      <c r="T59" s="181"/>
      <c r="U59" s="54"/>
      <c r="V59" s="54"/>
      <c r="W59" s="78">
        <f t="shared" si="8"/>
        <v>809635.59999999986</v>
      </c>
      <c r="X59" s="78">
        <f t="shared" si="9"/>
        <v>522003.19999999995</v>
      </c>
      <c r="Y59" s="78">
        <f t="shared" si="10"/>
        <v>287632.39999999991</v>
      </c>
      <c r="Z59" s="54"/>
      <c r="AA59" s="54"/>
    </row>
    <row r="60" spans="1:27" ht="79.5" customHeight="1" x14ac:dyDescent="0.25">
      <c r="A60" s="173" t="s">
        <v>91</v>
      </c>
      <c r="B60" s="170" t="s">
        <v>92</v>
      </c>
      <c r="C60" s="174"/>
      <c r="D60" s="175" t="s">
        <v>25</v>
      </c>
      <c r="E60" s="171">
        <v>43839</v>
      </c>
      <c r="F60" s="171">
        <v>44196</v>
      </c>
      <c r="G60" s="171">
        <v>43839</v>
      </c>
      <c r="H60" s="171"/>
      <c r="I60" s="169">
        <v>2064737.9</v>
      </c>
      <c r="J60" s="169">
        <v>2064737.9</v>
      </c>
      <c r="K60" s="169">
        <v>2904908.6</v>
      </c>
      <c r="L60" s="169">
        <f>L62+L63+L61</f>
        <v>3604908.4999999995</v>
      </c>
      <c r="M60" s="169">
        <v>3026944.8</v>
      </c>
      <c r="N60" s="169">
        <f>N61+N62+N63</f>
        <v>2326945</v>
      </c>
      <c r="O60" s="169">
        <v>2579011.7000000002</v>
      </c>
      <c r="P60" s="169">
        <v>0</v>
      </c>
      <c r="Q60" s="170" t="s">
        <v>519</v>
      </c>
      <c r="R60" s="178"/>
      <c r="S60" s="182">
        <v>10575603</v>
      </c>
      <c r="T60" s="181"/>
      <c r="U60" s="54"/>
      <c r="V60" s="54"/>
      <c r="W60" s="78">
        <f t="shared" si="8"/>
        <v>10575603</v>
      </c>
      <c r="X60" s="78">
        <f t="shared" si="9"/>
        <v>7996591.3999999994</v>
      </c>
      <c r="Y60" s="78">
        <f t="shared" si="10"/>
        <v>2579011.6000000006</v>
      </c>
      <c r="Z60" s="54"/>
      <c r="AA60" s="54"/>
    </row>
    <row r="61" spans="1:27" ht="75" x14ac:dyDescent="0.25">
      <c r="A61" s="85" t="s">
        <v>93</v>
      </c>
      <c r="B61" s="170" t="s">
        <v>94</v>
      </c>
      <c r="C61" s="174"/>
      <c r="D61" s="175" t="s">
        <v>25</v>
      </c>
      <c r="E61" s="171">
        <v>43839</v>
      </c>
      <c r="F61" s="171">
        <v>44196</v>
      </c>
      <c r="G61" s="171">
        <v>43839</v>
      </c>
      <c r="H61" s="171"/>
      <c r="I61" s="169">
        <v>2052863.7</v>
      </c>
      <c r="J61" s="169">
        <v>2052863.7</v>
      </c>
      <c r="K61" s="169">
        <v>2894299</v>
      </c>
      <c r="L61" s="169">
        <f>5647162.6-J61</f>
        <v>3594298.8999999994</v>
      </c>
      <c r="M61" s="169">
        <v>2969035.8</v>
      </c>
      <c r="N61" s="169">
        <f>7916198.6-L61-J61</f>
        <v>2269036</v>
      </c>
      <c r="O61" s="169">
        <v>2558623.2999999998</v>
      </c>
      <c r="P61" s="169">
        <v>0</v>
      </c>
      <c r="Q61" s="170" t="s">
        <v>519</v>
      </c>
      <c r="R61" s="178"/>
      <c r="S61" s="182">
        <v>10474821.800000001</v>
      </c>
      <c r="T61" s="181"/>
      <c r="U61" s="54"/>
      <c r="V61" s="54"/>
      <c r="W61" s="78">
        <f t="shared" si="8"/>
        <v>10474821.800000001</v>
      </c>
      <c r="X61" s="78">
        <f t="shared" si="9"/>
        <v>7916198.5999999996</v>
      </c>
      <c r="Y61" s="78">
        <f t="shared" si="10"/>
        <v>2558623.2000000011</v>
      </c>
      <c r="Z61" s="54"/>
      <c r="AA61" s="54"/>
    </row>
    <row r="62" spans="1:27" ht="85.5" customHeight="1" x14ac:dyDescent="0.25">
      <c r="A62" s="85" t="s">
        <v>95</v>
      </c>
      <c r="B62" s="170" t="s">
        <v>96</v>
      </c>
      <c r="C62" s="174"/>
      <c r="D62" s="175" t="s">
        <v>25</v>
      </c>
      <c r="E62" s="171">
        <v>43839</v>
      </c>
      <c r="F62" s="171">
        <v>44196</v>
      </c>
      <c r="G62" s="171">
        <v>43839</v>
      </c>
      <c r="H62" s="171"/>
      <c r="I62" s="169">
        <v>7289.6</v>
      </c>
      <c r="J62" s="169">
        <v>7289.6</v>
      </c>
      <c r="K62" s="169">
        <v>4189.2</v>
      </c>
      <c r="L62" s="169">
        <f>11478.8-J62</f>
        <v>4189.1999999999989</v>
      </c>
      <c r="M62" s="169">
        <v>51763</v>
      </c>
      <c r="N62" s="169">
        <f>63241.8-L62-J62</f>
        <v>51763.000000000007</v>
      </c>
      <c r="O62" s="169">
        <v>12902.3</v>
      </c>
      <c r="P62" s="169">
        <v>0</v>
      </c>
      <c r="Q62" s="170" t="s">
        <v>519</v>
      </c>
      <c r="R62" s="178"/>
      <c r="S62" s="182">
        <v>76144.100000000006</v>
      </c>
      <c r="T62" s="181"/>
      <c r="U62" s="54"/>
      <c r="V62" s="54"/>
      <c r="W62" s="78">
        <f t="shared" si="8"/>
        <v>76144.100000000006</v>
      </c>
      <c r="X62" s="78">
        <f t="shared" si="9"/>
        <v>63241.8</v>
      </c>
      <c r="Y62" s="78">
        <f t="shared" si="10"/>
        <v>12902.300000000003</v>
      </c>
      <c r="Z62" s="54"/>
      <c r="AA62" s="54"/>
    </row>
    <row r="63" spans="1:27" ht="220.5" customHeight="1" x14ac:dyDescent="0.25">
      <c r="A63" s="85" t="s">
        <v>97</v>
      </c>
      <c r="B63" s="170" t="s">
        <v>456</v>
      </c>
      <c r="C63" s="174"/>
      <c r="D63" s="175" t="s">
        <v>25</v>
      </c>
      <c r="E63" s="171">
        <v>43839</v>
      </c>
      <c r="F63" s="171">
        <v>44196</v>
      </c>
      <c r="G63" s="171">
        <v>43839</v>
      </c>
      <c r="H63" s="171"/>
      <c r="I63" s="169">
        <v>4584.6000000000004</v>
      </c>
      <c r="J63" s="169">
        <v>4584.6000000000004</v>
      </c>
      <c r="K63" s="169">
        <v>6420.4</v>
      </c>
      <c r="L63" s="169">
        <f>11005-J63</f>
        <v>6420.4</v>
      </c>
      <c r="M63" s="169">
        <v>6146</v>
      </c>
      <c r="N63" s="169">
        <f>17151-L63-J63</f>
        <v>6146</v>
      </c>
      <c r="O63" s="169">
        <v>7486.1</v>
      </c>
      <c r="P63" s="169">
        <v>0</v>
      </c>
      <c r="Q63" s="170" t="s">
        <v>519</v>
      </c>
      <c r="R63" s="178"/>
      <c r="S63" s="182">
        <v>24637.1</v>
      </c>
      <c r="T63" s="181"/>
      <c r="U63" s="54"/>
      <c r="V63" s="54"/>
      <c r="W63" s="78">
        <f t="shared" si="8"/>
        <v>24637.1</v>
      </c>
      <c r="X63" s="78">
        <f t="shared" si="9"/>
        <v>17151</v>
      </c>
      <c r="Y63" s="78">
        <f t="shared" si="10"/>
        <v>7486.0999999999985</v>
      </c>
      <c r="Z63" s="54"/>
      <c r="AA63" s="54"/>
    </row>
    <row r="64" spans="1:27" ht="379.5" customHeight="1" x14ac:dyDescent="0.25">
      <c r="A64" s="173" t="s">
        <v>47</v>
      </c>
      <c r="B64" s="170" t="s">
        <v>239</v>
      </c>
      <c r="C64" s="174"/>
      <c r="D64" s="175" t="s">
        <v>353</v>
      </c>
      <c r="E64" s="172" t="s">
        <v>291</v>
      </c>
      <c r="F64" s="171">
        <v>44104</v>
      </c>
      <c r="G64" s="171">
        <v>44013</v>
      </c>
      <c r="H64" s="171">
        <v>44104</v>
      </c>
      <c r="I64" s="169">
        <v>0</v>
      </c>
      <c r="J64" s="169">
        <v>0</v>
      </c>
      <c r="K64" s="169">
        <v>0</v>
      </c>
      <c r="L64" s="169">
        <v>0</v>
      </c>
      <c r="M64" s="169">
        <v>1633.6</v>
      </c>
      <c r="N64" s="169">
        <v>1633.6</v>
      </c>
      <c r="O64" s="169">
        <v>0</v>
      </c>
      <c r="P64" s="169">
        <v>0</v>
      </c>
      <c r="Q64" s="170"/>
      <c r="R64" s="178"/>
      <c r="S64" s="182">
        <v>1633.6</v>
      </c>
      <c r="T64" s="181"/>
      <c r="U64" s="54"/>
      <c r="V64" s="54"/>
      <c r="W64" s="78">
        <f t="shared" si="8"/>
        <v>1633.6</v>
      </c>
      <c r="X64" s="78">
        <f t="shared" si="9"/>
        <v>1633.6</v>
      </c>
      <c r="Y64" s="78">
        <f t="shared" si="10"/>
        <v>0</v>
      </c>
      <c r="Z64" s="54"/>
      <c r="AA64" s="54"/>
    </row>
    <row r="65" spans="1:27" ht="262.5" x14ac:dyDescent="0.25">
      <c r="A65" s="173" t="s">
        <v>49</v>
      </c>
      <c r="B65" s="170" t="s">
        <v>240</v>
      </c>
      <c r="C65" s="174"/>
      <c r="D65" s="175" t="s">
        <v>395</v>
      </c>
      <c r="E65" s="171">
        <v>43922</v>
      </c>
      <c r="F65" s="171">
        <v>44012</v>
      </c>
      <c r="G65" s="171">
        <v>43922</v>
      </c>
      <c r="H65" s="171">
        <v>44012</v>
      </c>
      <c r="I65" s="169">
        <v>0</v>
      </c>
      <c r="J65" s="169">
        <v>0</v>
      </c>
      <c r="K65" s="169">
        <v>3462.9</v>
      </c>
      <c r="L65" s="169">
        <f>3462.9-J65</f>
        <v>3462.9</v>
      </c>
      <c r="M65" s="169">
        <v>0</v>
      </c>
      <c r="N65" s="169">
        <v>0</v>
      </c>
      <c r="O65" s="169">
        <v>0</v>
      </c>
      <c r="P65" s="169">
        <v>0</v>
      </c>
      <c r="Q65" s="170"/>
      <c r="R65" s="178"/>
      <c r="S65" s="182">
        <v>3462.9</v>
      </c>
      <c r="T65" s="181"/>
      <c r="U65" s="54"/>
      <c r="V65" s="54"/>
      <c r="W65" s="78">
        <f t="shared" si="8"/>
        <v>3462.9</v>
      </c>
      <c r="X65" s="78">
        <f t="shared" si="9"/>
        <v>3462.9</v>
      </c>
      <c r="Y65" s="78">
        <f t="shared" si="10"/>
        <v>0</v>
      </c>
      <c r="Z65" s="54"/>
      <c r="AA65" s="54"/>
    </row>
    <row r="66" spans="1:27" ht="221.25" customHeight="1" x14ac:dyDescent="0.25">
      <c r="A66" s="173" t="s">
        <v>101</v>
      </c>
      <c r="B66" s="170" t="s">
        <v>241</v>
      </c>
      <c r="C66" s="174"/>
      <c r="D66" s="175" t="s">
        <v>396</v>
      </c>
      <c r="E66" s="171">
        <v>43922</v>
      </c>
      <c r="F66" s="171">
        <v>44104</v>
      </c>
      <c r="G66" s="171">
        <v>43922</v>
      </c>
      <c r="H66" s="171">
        <v>44104</v>
      </c>
      <c r="I66" s="169">
        <v>0</v>
      </c>
      <c r="J66" s="169">
        <v>0</v>
      </c>
      <c r="K66" s="169">
        <v>13.7</v>
      </c>
      <c r="L66" s="169">
        <v>13.7</v>
      </c>
      <c r="M66" s="169">
        <v>1246.3</v>
      </c>
      <c r="N66" s="169">
        <f>1260-L66-J66</f>
        <v>1246.3</v>
      </c>
      <c r="O66" s="169">
        <v>0</v>
      </c>
      <c r="P66" s="169">
        <v>0</v>
      </c>
      <c r="Q66" s="170"/>
      <c r="R66" s="178"/>
      <c r="S66" s="182">
        <v>1260</v>
      </c>
      <c r="T66" s="181"/>
      <c r="U66" s="54"/>
      <c r="V66" s="54"/>
      <c r="W66" s="78">
        <f t="shared" si="8"/>
        <v>1260</v>
      </c>
      <c r="X66" s="78">
        <f t="shared" si="9"/>
        <v>1260</v>
      </c>
      <c r="Y66" s="78">
        <f t="shared" si="10"/>
        <v>0</v>
      </c>
      <c r="Z66" s="54"/>
      <c r="AA66" s="54"/>
    </row>
    <row r="67" spans="1:27" ht="207" customHeight="1" x14ac:dyDescent="0.25">
      <c r="A67" s="173" t="s">
        <v>103</v>
      </c>
      <c r="B67" s="170" t="s">
        <v>242</v>
      </c>
      <c r="C67" s="174"/>
      <c r="D67" s="175" t="s">
        <v>395</v>
      </c>
      <c r="E67" s="172" t="s">
        <v>291</v>
      </c>
      <c r="F67" s="171">
        <v>44104</v>
      </c>
      <c r="G67" s="171">
        <v>44013</v>
      </c>
      <c r="H67" s="171">
        <v>44104</v>
      </c>
      <c r="I67" s="169">
        <v>0</v>
      </c>
      <c r="J67" s="169">
        <v>0</v>
      </c>
      <c r="K67" s="169">
        <v>0</v>
      </c>
      <c r="L67" s="169">
        <v>0</v>
      </c>
      <c r="M67" s="169">
        <v>700</v>
      </c>
      <c r="N67" s="169">
        <v>700</v>
      </c>
      <c r="O67" s="169">
        <v>0</v>
      </c>
      <c r="P67" s="169">
        <v>0</v>
      </c>
      <c r="Q67" s="170"/>
      <c r="R67" s="178"/>
      <c r="S67" s="182">
        <v>700</v>
      </c>
      <c r="T67" s="181"/>
      <c r="U67" s="54"/>
      <c r="V67" s="54"/>
      <c r="W67" s="78">
        <f t="shared" si="8"/>
        <v>700</v>
      </c>
      <c r="X67" s="78">
        <f t="shared" si="9"/>
        <v>700</v>
      </c>
      <c r="Y67" s="78">
        <f t="shared" si="10"/>
        <v>0</v>
      </c>
      <c r="Z67" s="54"/>
      <c r="AA67" s="54"/>
    </row>
    <row r="68" spans="1:27" ht="126" customHeight="1" x14ac:dyDescent="0.25">
      <c r="A68" s="173" t="s">
        <v>105</v>
      </c>
      <c r="B68" s="170" t="s">
        <v>243</v>
      </c>
      <c r="C68" s="174"/>
      <c r="D68" s="175" t="s">
        <v>396</v>
      </c>
      <c r="E68" s="172" t="s">
        <v>288</v>
      </c>
      <c r="F68" s="172" t="s">
        <v>286</v>
      </c>
      <c r="G68" s="171">
        <v>43839</v>
      </c>
      <c r="H68" s="171"/>
      <c r="I68" s="169">
        <v>4094.1</v>
      </c>
      <c r="J68" s="169">
        <v>4094.1</v>
      </c>
      <c r="K68" s="169">
        <v>3829.4</v>
      </c>
      <c r="L68" s="169">
        <f>7923.5-J68</f>
        <v>3829.4</v>
      </c>
      <c r="M68" s="169">
        <v>3669.3</v>
      </c>
      <c r="N68" s="169">
        <f>11592.8-L68-J68</f>
        <v>3669.2999999999997</v>
      </c>
      <c r="O68" s="169">
        <v>4239.6000000000004</v>
      </c>
      <c r="P68" s="169">
        <v>0</v>
      </c>
      <c r="Q68" s="170" t="s">
        <v>519</v>
      </c>
      <c r="R68" s="178"/>
      <c r="S68" s="182">
        <v>15832.4</v>
      </c>
      <c r="T68" s="181"/>
      <c r="U68" s="54"/>
      <c r="V68" s="54"/>
      <c r="W68" s="78">
        <f t="shared" si="8"/>
        <v>15832.4</v>
      </c>
      <c r="X68" s="78">
        <f t="shared" si="9"/>
        <v>11592.8</v>
      </c>
      <c r="Y68" s="78">
        <f t="shared" si="10"/>
        <v>4239.6000000000004</v>
      </c>
      <c r="Z68" s="54"/>
      <c r="AA68" s="54"/>
    </row>
    <row r="69" spans="1:27" ht="324.75" customHeight="1" x14ac:dyDescent="0.25">
      <c r="A69" s="173" t="s">
        <v>107</v>
      </c>
      <c r="B69" s="170" t="s">
        <v>244</v>
      </c>
      <c r="C69" s="174"/>
      <c r="D69" s="175" t="s">
        <v>396</v>
      </c>
      <c r="E69" s="171">
        <v>44013</v>
      </c>
      <c r="F69" s="171">
        <v>44104</v>
      </c>
      <c r="G69" s="171">
        <v>44013</v>
      </c>
      <c r="H69" s="171">
        <v>44104</v>
      </c>
      <c r="I69" s="169">
        <v>0</v>
      </c>
      <c r="J69" s="169">
        <v>0</v>
      </c>
      <c r="K69" s="169">
        <v>0</v>
      </c>
      <c r="L69" s="169">
        <v>0</v>
      </c>
      <c r="M69" s="169">
        <v>1000</v>
      </c>
      <c r="N69" s="169">
        <v>1000</v>
      </c>
      <c r="O69" s="169">
        <v>0</v>
      </c>
      <c r="P69" s="169">
        <v>0</v>
      </c>
      <c r="Q69" s="170"/>
      <c r="R69" s="178"/>
      <c r="S69" s="182">
        <v>1000</v>
      </c>
      <c r="T69" s="181"/>
      <c r="U69" s="54"/>
      <c r="V69" s="54"/>
      <c r="W69" s="78">
        <f t="shared" si="8"/>
        <v>1000</v>
      </c>
      <c r="X69" s="78">
        <f t="shared" si="9"/>
        <v>1000</v>
      </c>
      <c r="Y69" s="78">
        <f t="shared" si="10"/>
        <v>0</v>
      </c>
      <c r="Z69" s="54"/>
      <c r="AA69" s="54"/>
    </row>
    <row r="70" spans="1:27" ht="348" customHeight="1" x14ac:dyDescent="0.25">
      <c r="A70" s="173" t="s">
        <v>515</v>
      </c>
      <c r="B70" s="170" t="s">
        <v>354</v>
      </c>
      <c r="C70" s="174"/>
      <c r="D70" s="175" t="s">
        <v>397</v>
      </c>
      <c r="E70" s="171">
        <v>43922</v>
      </c>
      <c r="F70" s="171">
        <v>44012</v>
      </c>
      <c r="G70" s="171">
        <v>43922</v>
      </c>
      <c r="H70" s="171">
        <v>44012</v>
      </c>
      <c r="I70" s="169">
        <v>0</v>
      </c>
      <c r="J70" s="169">
        <v>0</v>
      </c>
      <c r="K70" s="169">
        <v>4400</v>
      </c>
      <c r="L70" s="169">
        <v>4400</v>
      </c>
      <c r="M70" s="169">
        <v>0</v>
      </c>
      <c r="N70" s="169">
        <v>0</v>
      </c>
      <c r="O70" s="169">
        <v>0</v>
      </c>
      <c r="P70" s="169">
        <v>0</v>
      </c>
      <c r="Q70" s="170"/>
      <c r="R70" s="178"/>
      <c r="S70" s="182">
        <v>4400</v>
      </c>
      <c r="T70" s="181"/>
      <c r="U70" s="54"/>
      <c r="V70" s="54"/>
      <c r="W70" s="78">
        <f t="shared" si="8"/>
        <v>4400</v>
      </c>
      <c r="X70" s="78">
        <f t="shared" si="9"/>
        <v>4400</v>
      </c>
      <c r="Y70" s="78">
        <f t="shared" si="10"/>
        <v>0</v>
      </c>
      <c r="Z70" s="54"/>
      <c r="AA70" s="54"/>
    </row>
    <row r="71" spans="1:27" ht="237.75" customHeight="1" x14ac:dyDescent="0.25">
      <c r="A71" s="173" t="s">
        <v>50</v>
      </c>
      <c r="B71" s="170" t="s">
        <v>279</v>
      </c>
      <c r="C71" s="174"/>
      <c r="D71" s="175" t="s">
        <v>396</v>
      </c>
      <c r="E71" s="171">
        <v>44105</v>
      </c>
      <c r="F71" s="171">
        <v>44196</v>
      </c>
      <c r="G71" s="171">
        <v>44105</v>
      </c>
      <c r="H71" s="172"/>
      <c r="I71" s="169">
        <v>0</v>
      </c>
      <c r="J71" s="169">
        <v>0</v>
      </c>
      <c r="K71" s="169">
        <v>0</v>
      </c>
      <c r="L71" s="169">
        <v>0</v>
      </c>
      <c r="M71" s="169">
        <v>0</v>
      </c>
      <c r="N71" s="169">
        <v>0</v>
      </c>
      <c r="O71" s="169">
        <v>13033.4</v>
      </c>
      <c r="P71" s="169">
        <v>0</v>
      </c>
      <c r="Q71" s="170" t="s">
        <v>519</v>
      </c>
      <c r="R71" s="178"/>
      <c r="S71" s="182">
        <v>13033.4</v>
      </c>
      <c r="T71" s="181"/>
      <c r="U71" s="54"/>
      <c r="V71" s="54"/>
      <c r="W71" s="78">
        <f t="shared" si="8"/>
        <v>13033.4</v>
      </c>
      <c r="X71" s="78">
        <f t="shared" si="9"/>
        <v>0</v>
      </c>
      <c r="Y71" s="78">
        <f t="shared" si="10"/>
        <v>13033.4</v>
      </c>
      <c r="Z71" s="54"/>
      <c r="AA71" s="54"/>
    </row>
    <row r="72" spans="1:27" ht="223.5" customHeight="1" x14ac:dyDescent="0.25">
      <c r="A72" s="173"/>
      <c r="B72" s="170" t="s">
        <v>245</v>
      </c>
      <c r="C72" s="174">
        <v>1</v>
      </c>
      <c r="D72" s="175" t="s">
        <v>246</v>
      </c>
      <c r="E72" s="172" t="s">
        <v>25</v>
      </c>
      <c r="F72" s="171">
        <v>44196</v>
      </c>
      <c r="G72" s="81" t="s">
        <v>25</v>
      </c>
      <c r="H72" s="171"/>
      <c r="I72" s="169" t="s">
        <v>25</v>
      </c>
      <c r="J72" s="169" t="s">
        <v>25</v>
      </c>
      <c r="K72" s="169" t="s">
        <v>25</v>
      </c>
      <c r="L72" s="169" t="s">
        <v>25</v>
      </c>
      <c r="M72" s="169" t="s">
        <v>25</v>
      </c>
      <c r="N72" s="169" t="s">
        <v>25</v>
      </c>
      <c r="O72" s="169" t="s">
        <v>25</v>
      </c>
      <c r="P72" s="169" t="s">
        <v>25</v>
      </c>
      <c r="Q72" s="169"/>
      <c r="R72" s="178"/>
      <c r="S72" s="182"/>
      <c r="T72" s="181"/>
      <c r="U72" s="54"/>
      <c r="V72" s="54"/>
      <c r="W72" s="78" t="e">
        <f t="shared" si="8"/>
        <v>#VALUE!</v>
      </c>
      <c r="X72" s="78" t="e">
        <f t="shared" si="9"/>
        <v>#VALUE!</v>
      </c>
      <c r="Y72" s="78" t="e">
        <f t="shared" si="10"/>
        <v>#VALUE!</v>
      </c>
      <c r="Z72" s="54"/>
      <c r="AA72" s="54"/>
    </row>
    <row r="73" spans="1:27" ht="121.5" customHeight="1" x14ac:dyDescent="0.25">
      <c r="A73" s="173"/>
      <c r="B73" s="170" t="s">
        <v>392</v>
      </c>
      <c r="C73" s="174" t="s">
        <v>25</v>
      </c>
      <c r="D73" s="175" t="s">
        <v>355</v>
      </c>
      <c r="E73" s="172" t="s">
        <v>25</v>
      </c>
      <c r="F73" s="171">
        <v>44196</v>
      </c>
      <c r="G73" s="172" t="s">
        <v>25</v>
      </c>
      <c r="H73" s="171"/>
      <c r="I73" s="169" t="s">
        <v>25</v>
      </c>
      <c r="J73" s="169" t="s">
        <v>25</v>
      </c>
      <c r="K73" s="169" t="s">
        <v>25</v>
      </c>
      <c r="L73" s="169" t="s">
        <v>25</v>
      </c>
      <c r="M73" s="169" t="s">
        <v>25</v>
      </c>
      <c r="N73" s="169" t="s">
        <v>25</v>
      </c>
      <c r="O73" s="169" t="s">
        <v>25</v>
      </c>
      <c r="P73" s="169" t="s">
        <v>25</v>
      </c>
      <c r="Q73" s="169"/>
      <c r="R73" s="178"/>
      <c r="S73" s="182"/>
      <c r="T73" s="181"/>
      <c r="U73" s="54"/>
      <c r="V73" s="54"/>
      <c r="W73" s="78" t="e">
        <f t="shared" si="8"/>
        <v>#VALUE!</v>
      </c>
      <c r="X73" s="78" t="e">
        <f t="shared" si="9"/>
        <v>#VALUE!</v>
      </c>
      <c r="Y73" s="78" t="e">
        <f t="shared" si="10"/>
        <v>#VALUE!</v>
      </c>
      <c r="Z73" s="54"/>
      <c r="AA73" s="54"/>
    </row>
    <row r="74" spans="1:27" ht="240.75" customHeight="1" x14ac:dyDescent="0.25">
      <c r="A74" s="173"/>
      <c r="B74" s="170" t="s">
        <v>393</v>
      </c>
      <c r="C74" s="174" t="s">
        <v>25</v>
      </c>
      <c r="D74" s="175" t="s">
        <v>396</v>
      </c>
      <c r="E74" s="172" t="s">
        <v>25</v>
      </c>
      <c r="F74" s="171">
        <v>44196</v>
      </c>
      <c r="G74" s="172" t="s">
        <v>25</v>
      </c>
      <c r="H74" s="171"/>
      <c r="I74" s="169" t="s">
        <v>25</v>
      </c>
      <c r="J74" s="169" t="s">
        <v>25</v>
      </c>
      <c r="K74" s="169" t="s">
        <v>25</v>
      </c>
      <c r="L74" s="169" t="s">
        <v>25</v>
      </c>
      <c r="M74" s="169" t="s">
        <v>25</v>
      </c>
      <c r="N74" s="169" t="s">
        <v>25</v>
      </c>
      <c r="O74" s="169" t="s">
        <v>25</v>
      </c>
      <c r="P74" s="169" t="s">
        <v>25</v>
      </c>
      <c r="Q74" s="169"/>
      <c r="R74" s="178"/>
      <c r="S74" s="182"/>
      <c r="T74" s="181"/>
      <c r="U74" s="54"/>
      <c r="V74" s="54"/>
      <c r="W74" s="78" t="e">
        <f t="shared" si="8"/>
        <v>#VALUE!</v>
      </c>
      <c r="X74" s="78" t="e">
        <f t="shared" si="9"/>
        <v>#VALUE!</v>
      </c>
      <c r="Y74" s="78" t="e">
        <f t="shared" si="10"/>
        <v>#VALUE!</v>
      </c>
      <c r="Z74" s="54"/>
      <c r="AA74" s="54"/>
    </row>
    <row r="75" spans="1:27" ht="33" customHeight="1" x14ac:dyDescent="0.25">
      <c r="A75" s="79" t="s">
        <v>247</v>
      </c>
      <c r="B75" s="262" t="s">
        <v>248</v>
      </c>
      <c r="C75" s="262"/>
      <c r="D75" s="262"/>
      <c r="E75" s="262"/>
      <c r="F75" s="262"/>
      <c r="G75" s="262"/>
      <c r="H75" s="262"/>
      <c r="I75" s="113">
        <f>I77+I79+I87+I89+I90+I92+I93+I96+I94+I98+I99+I100+I101+I104+I106+I108+I110+I111+I112+I113+I115+I116+I102+I97</f>
        <v>4883832.3000000007</v>
      </c>
      <c r="J75" s="113">
        <f>J77+J79+J87+J89+J90+J92+J93+J96+J94+J98+J99+J100+J101+J104+J106+J108+J110+J111+J112+J113+J115+J116+J102+J97</f>
        <v>4949034.5000000019</v>
      </c>
      <c r="K75" s="113">
        <f>K77+K79+K87+K89+K90+K92+K93+K96+K94+K98+K99+K100+K101+K104+K106+K108+K110+K111+K112+K113+K115+K116+K102+K97+K103</f>
        <v>5619586.200000002</v>
      </c>
      <c r="L75" s="113">
        <f>L77+L79+L87+L89+L90+L92+L93+L96+L94+L98+L99+L100+L101+L104+L106+L108+L110+L111+L112+L113+L115+L116+L102+L97+L103</f>
        <v>6165873.6000000015</v>
      </c>
      <c r="M75" s="113">
        <f>M77+M79+M87+M89+M90+M92+M93+M96+M94+M98+M99+M100+M101+M104+M106+M108+M110+M111+M112+M113+M115+M116+M102+M97</f>
        <v>13639994.799999999</v>
      </c>
      <c r="N75" s="113">
        <f>N77+N79+N87+N89+N90+N92+N93+N96+N94+N98+N99+N100+N101+N104+N106+N108+N110+N111+N112+N113+N115+N116+N102+N97</f>
        <v>13303893.500000002</v>
      </c>
      <c r="O75" s="113">
        <f>O77+O79+O87+O89+O90+O92+O93+O94+O96+O97+O99+O100+O101+O102+O104+O106+O108+O110+O111+O112+O113+O115+O116</f>
        <v>8746812.6000000015</v>
      </c>
      <c r="P75" s="113">
        <f>P77+P79+P87+P89+P90+P92+P93+P96+P94+P98+P99+P100+P101+P104+P106+P108+P110+P111+P112+P113+P115+P116+P102+P97</f>
        <v>0</v>
      </c>
      <c r="Q75" s="169"/>
      <c r="R75" s="178"/>
      <c r="S75" s="182">
        <f>I75+K75+M75+O75</f>
        <v>32890225.900000006</v>
      </c>
      <c r="T75" s="185">
        <f>J75+L75+N75+P75</f>
        <v>24418801.600000005</v>
      </c>
      <c r="U75" s="80"/>
      <c r="V75" s="80"/>
      <c r="W75" s="78">
        <f>I75+K75+M75+O75</f>
        <v>32890225.900000006</v>
      </c>
      <c r="X75" s="78">
        <f>J75+L75+N75+P75</f>
        <v>24418801.600000005</v>
      </c>
      <c r="Y75" s="78">
        <f t="shared" si="10"/>
        <v>8471424.3000000007</v>
      </c>
      <c r="Z75" s="80"/>
      <c r="AA75" s="80"/>
    </row>
    <row r="76" spans="1:27" ht="163.5" customHeight="1" x14ac:dyDescent="0.25">
      <c r="A76" s="173" t="s">
        <v>81</v>
      </c>
      <c r="B76" s="170" t="s">
        <v>249</v>
      </c>
      <c r="C76" s="175"/>
      <c r="D76" s="175" t="s">
        <v>25</v>
      </c>
      <c r="E76" s="81"/>
      <c r="F76" s="81"/>
      <c r="G76" s="81"/>
      <c r="H76" s="81"/>
      <c r="I76" s="169"/>
      <c r="J76" s="169"/>
      <c r="K76" s="169"/>
      <c r="L76" s="169"/>
      <c r="M76" s="169"/>
      <c r="N76" s="169"/>
      <c r="O76" s="169"/>
      <c r="P76" s="169"/>
      <c r="Q76" s="170"/>
      <c r="R76" s="178"/>
      <c r="S76" s="182"/>
      <c r="T76" s="181"/>
      <c r="U76" s="54"/>
      <c r="V76" s="54"/>
      <c r="W76" s="78">
        <f t="shared" ref="W76:W102" si="12">I76+K76+M76+O76</f>
        <v>0</v>
      </c>
      <c r="X76" s="78">
        <f t="shared" ref="X76:X103" si="13">J76+L76+N76+P76</f>
        <v>0</v>
      </c>
      <c r="Y76" s="78">
        <f t="shared" si="10"/>
        <v>0</v>
      </c>
      <c r="Z76" s="54"/>
      <c r="AA76" s="54"/>
    </row>
    <row r="77" spans="1:27" ht="213.75" customHeight="1" x14ac:dyDescent="0.25">
      <c r="A77" s="173" t="s">
        <v>35</v>
      </c>
      <c r="B77" s="170" t="s">
        <v>250</v>
      </c>
      <c r="C77" s="174"/>
      <c r="D77" s="175" t="s">
        <v>356</v>
      </c>
      <c r="E77" s="171">
        <v>43839</v>
      </c>
      <c r="F77" s="171">
        <v>44196</v>
      </c>
      <c r="G77" s="171">
        <v>43839</v>
      </c>
      <c r="H77" s="171"/>
      <c r="I77" s="169">
        <v>455383.6</v>
      </c>
      <c r="J77" s="169">
        <v>459248.6</v>
      </c>
      <c r="K77" s="169">
        <v>600235.80000000005</v>
      </c>
      <c r="L77" s="169">
        <f>L78</f>
        <v>602875.9</v>
      </c>
      <c r="M77" s="169">
        <v>590126.80000000005</v>
      </c>
      <c r="N77" s="169">
        <f>N78</f>
        <v>594418.29999999993</v>
      </c>
      <c r="O77" s="169">
        <v>873041.5</v>
      </c>
      <c r="P77" s="169">
        <v>0</v>
      </c>
      <c r="Q77" s="170" t="s">
        <v>519</v>
      </c>
      <c r="R77" s="178"/>
      <c r="S77" s="182">
        <v>2518787.7000000002</v>
      </c>
      <c r="T77" s="181"/>
      <c r="U77" s="54"/>
      <c r="V77" s="54"/>
      <c r="W77" s="78">
        <f t="shared" si="12"/>
        <v>2518787.7000000002</v>
      </c>
      <c r="X77" s="78">
        <f t="shared" si="13"/>
        <v>1656542.7999999998</v>
      </c>
      <c r="Y77" s="78">
        <f t="shared" si="10"/>
        <v>862244.90000000037</v>
      </c>
      <c r="Z77" s="54"/>
      <c r="AA77" s="54"/>
    </row>
    <row r="78" spans="1:27" ht="90" customHeight="1" x14ac:dyDescent="0.25">
      <c r="A78" s="174" t="s">
        <v>84</v>
      </c>
      <c r="B78" s="170" t="s">
        <v>89</v>
      </c>
      <c r="C78" s="174"/>
      <c r="D78" s="175" t="s">
        <v>25</v>
      </c>
      <c r="E78" s="171">
        <v>43839</v>
      </c>
      <c r="F78" s="171">
        <v>44196</v>
      </c>
      <c r="G78" s="171">
        <v>43839</v>
      </c>
      <c r="H78" s="171"/>
      <c r="I78" s="169">
        <v>455383.6</v>
      </c>
      <c r="J78" s="169">
        <v>459248.6</v>
      </c>
      <c r="K78" s="169">
        <v>600235.80000000005</v>
      </c>
      <c r="L78" s="169">
        <f>1062124.5-J78</f>
        <v>602875.9</v>
      </c>
      <c r="M78" s="169">
        <v>590126.80000000005</v>
      </c>
      <c r="N78" s="169">
        <f>1656542.8-L78-J78</f>
        <v>594418.29999999993</v>
      </c>
      <c r="O78" s="169">
        <v>873041.5</v>
      </c>
      <c r="P78" s="169">
        <v>0</v>
      </c>
      <c r="Q78" s="170" t="s">
        <v>519</v>
      </c>
      <c r="R78" s="178"/>
      <c r="S78" s="182">
        <v>2518787.7000000002</v>
      </c>
      <c r="T78" s="181"/>
      <c r="U78" s="54"/>
      <c r="V78" s="54"/>
      <c r="W78" s="78">
        <f t="shared" si="12"/>
        <v>2518787.7000000002</v>
      </c>
      <c r="X78" s="78">
        <f t="shared" si="13"/>
        <v>1656542.7999999998</v>
      </c>
      <c r="Y78" s="78">
        <f t="shared" si="10"/>
        <v>862244.90000000037</v>
      </c>
      <c r="Z78" s="54"/>
      <c r="AA78" s="54"/>
    </row>
    <row r="79" spans="1:27" ht="270" customHeight="1" x14ac:dyDescent="0.25">
      <c r="A79" s="256" t="s">
        <v>36</v>
      </c>
      <c r="B79" s="248" t="s">
        <v>251</v>
      </c>
      <c r="C79" s="260"/>
      <c r="D79" s="259" t="s">
        <v>394</v>
      </c>
      <c r="E79" s="249">
        <v>43839</v>
      </c>
      <c r="F79" s="249">
        <v>44196</v>
      </c>
      <c r="G79" s="249">
        <v>43839</v>
      </c>
      <c r="H79" s="249"/>
      <c r="I79" s="251">
        <f>I81+I82</f>
        <v>59382.100000000006</v>
      </c>
      <c r="J79" s="251">
        <v>59471.8</v>
      </c>
      <c r="K79" s="251">
        <v>82683.899999999994</v>
      </c>
      <c r="L79" s="251">
        <f>L81+L82</f>
        <v>82607.5</v>
      </c>
      <c r="M79" s="251">
        <v>87076.7</v>
      </c>
      <c r="N79" s="251">
        <f>N81+N82</f>
        <v>87230.5</v>
      </c>
      <c r="O79" s="251">
        <v>107042.6</v>
      </c>
      <c r="P79" s="251">
        <v>0</v>
      </c>
      <c r="Q79" s="248" t="s">
        <v>519</v>
      </c>
      <c r="R79" s="178"/>
      <c r="S79" s="182">
        <v>336185.3</v>
      </c>
      <c r="T79" s="181"/>
      <c r="U79" s="54"/>
      <c r="V79" s="54"/>
      <c r="W79" s="78">
        <f t="shared" si="12"/>
        <v>336185.30000000005</v>
      </c>
      <c r="X79" s="78">
        <f t="shared" si="13"/>
        <v>229309.8</v>
      </c>
      <c r="Y79" s="78">
        <f t="shared" si="10"/>
        <v>106875.50000000006</v>
      </c>
      <c r="Z79" s="54"/>
      <c r="AA79" s="54"/>
    </row>
    <row r="80" spans="1:27" ht="107.25" customHeight="1" x14ac:dyDescent="0.25">
      <c r="A80" s="256"/>
      <c r="B80" s="248"/>
      <c r="C80" s="260"/>
      <c r="D80" s="259"/>
      <c r="E80" s="249"/>
      <c r="F80" s="250"/>
      <c r="G80" s="249"/>
      <c r="H80" s="250"/>
      <c r="I80" s="251"/>
      <c r="J80" s="251"/>
      <c r="K80" s="251"/>
      <c r="L80" s="251"/>
      <c r="M80" s="251"/>
      <c r="N80" s="251"/>
      <c r="O80" s="251"/>
      <c r="P80" s="251"/>
      <c r="Q80" s="248"/>
      <c r="R80" s="178"/>
      <c r="S80" s="182"/>
      <c r="T80" s="181"/>
      <c r="U80" s="54"/>
      <c r="V80" s="54"/>
      <c r="W80" s="78">
        <f t="shared" si="12"/>
        <v>0</v>
      </c>
      <c r="X80" s="78">
        <f t="shared" si="13"/>
        <v>0</v>
      </c>
      <c r="Y80" s="78">
        <f t="shared" si="10"/>
        <v>0</v>
      </c>
      <c r="Z80" s="54"/>
      <c r="AA80" s="54"/>
    </row>
    <row r="81" spans="1:27" ht="85.5" customHeight="1" x14ac:dyDescent="0.25">
      <c r="A81" s="173" t="s">
        <v>114</v>
      </c>
      <c r="B81" s="170" t="s">
        <v>89</v>
      </c>
      <c r="C81" s="174"/>
      <c r="D81" s="175" t="s">
        <v>25</v>
      </c>
      <c r="E81" s="171">
        <v>43839</v>
      </c>
      <c r="F81" s="171">
        <v>44196</v>
      </c>
      <c r="G81" s="171">
        <v>43839</v>
      </c>
      <c r="H81" s="171"/>
      <c r="I81" s="169">
        <v>15911.7</v>
      </c>
      <c r="J81" s="169">
        <v>16001.4</v>
      </c>
      <c r="K81" s="169">
        <v>22269.8</v>
      </c>
      <c r="L81" s="169">
        <f>38194.8-J81</f>
        <v>22193.4</v>
      </c>
      <c r="M81" s="169">
        <v>17997.900000000001</v>
      </c>
      <c r="N81" s="169">
        <f>56346.5-L81-J81</f>
        <v>18151.699999999997</v>
      </c>
      <c r="O81" s="169">
        <v>68683.100000000006</v>
      </c>
      <c r="P81" s="169">
        <v>0</v>
      </c>
      <c r="Q81" s="170" t="s">
        <v>519</v>
      </c>
      <c r="R81" s="178"/>
      <c r="S81" s="182">
        <v>124862.5</v>
      </c>
      <c r="T81" s="181"/>
      <c r="U81" s="54"/>
      <c r="V81" s="54"/>
      <c r="W81" s="78">
        <f t="shared" si="12"/>
        <v>124862.5</v>
      </c>
      <c r="X81" s="78">
        <f t="shared" si="13"/>
        <v>56346.5</v>
      </c>
      <c r="Y81" s="78">
        <f t="shared" si="10"/>
        <v>68516</v>
      </c>
      <c r="Z81" s="54"/>
      <c r="AA81" s="54"/>
    </row>
    <row r="82" spans="1:27" ht="83.25" customHeight="1" x14ac:dyDescent="0.25">
      <c r="A82" s="173" t="s">
        <v>115</v>
      </c>
      <c r="B82" s="170" t="s">
        <v>116</v>
      </c>
      <c r="C82" s="174"/>
      <c r="D82" s="175" t="s">
        <v>25</v>
      </c>
      <c r="E82" s="171">
        <v>43839</v>
      </c>
      <c r="F82" s="171">
        <v>44196</v>
      </c>
      <c r="G82" s="171">
        <v>43839</v>
      </c>
      <c r="H82" s="171"/>
      <c r="I82" s="169">
        <f>I83+I84+I85</f>
        <v>43470.400000000001</v>
      </c>
      <c r="J82" s="169">
        <v>43470.400000000001</v>
      </c>
      <c r="K82" s="169">
        <v>60414.1</v>
      </c>
      <c r="L82" s="169">
        <f>L83+L84+L85</f>
        <v>60414.1</v>
      </c>
      <c r="M82" s="169">
        <v>69078.8</v>
      </c>
      <c r="N82" s="169">
        <f>N83+N84+N85</f>
        <v>69078.8</v>
      </c>
      <c r="O82" s="169">
        <v>38359.5</v>
      </c>
      <c r="P82" s="169">
        <v>0</v>
      </c>
      <c r="Q82" s="170" t="s">
        <v>519</v>
      </c>
      <c r="R82" s="178"/>
      <c r="S82" s="182">
        <v>211322.8</v>
      </c>
      <c r="T82" s="181"/>
      <c r="U82" s="54"/>
      <c r="V82" s="54"/>
      <c r="W82" s="78">
        <f t="shared" si="12"/>
        <v>211322.8</v>
      </c>
      <c r="X82" s="78">
        <f t="shared" si="13"/>
        <v>172963.3</v>
      </c>
      <c r="Y82" s="78">
        <f t="shared" si="10"/>
        <v>38359.5</v>
      </c>
      <c r="Z82" s="54"/>
      <c r="AA82" s="54"/>
    </row>
    <row r="83" spans="1:27" ht="81.75" customHeight="1" x14ac:dyDescent="0.25">
      <c r="A83" s="173" t="s">
        <v>117</v>
      </c>
      <c r="B83" s="170" t="s">
        <v>94</v>
      </c>
      <c r="C83" s="174"/>
      <c r="D83" s="175" t="s">
        <v>25</v>
      </c>
      <c r="E83" s="171">
        <v>43839</v>
      </c>
      <c r="F83" s="171">
        <v>44196</v>
      </c>
      <c r="G83" s="171">
        <v>43839</v>
      </c>
      <c r="H83" s="171"/>
      <c r="I83" s="169">
        <v>38762</v>
      </c>
      <c r="J83" s="169">
        <v>38762</v>
      </c>
      <c r="K83" s="169">
        <v>49124</v>
      </c>
      <c r="L83" s="169">
        <f>87886-J83</f>
        <v>49124</v>
      </c>
      <c r="M83" s="169">
        <v>66481.100000000006</v>
      </c>
      <c r="N83" s="169">
        <f>154367.1-L83-J83</f>
        <v>66481.100000000006</v>
      </c>
      <c r="O83" s="169">
        <v>37903.9</v>
      </c>
      <c r="P83" s="169">
        <v>0</v>
      </c>
      <c r="Q83" s="170" t="s">
        <v>519</v>
      </c>
      <c r="R83" s="178"/>
      <c r="S83" s="182">
        <v>192271</v>
      </c>
      <c r="T83" s="181"/>
      <c r="U83" s="54"/>
      <c r="V83" s="54"/>
      <c r="W83" s="78">
        <f t="shared" si="12"/>
        <v>192271</v>
      </c>
      <c r="X83" s="78">
        <f t="shared" si="13"/>
        <v>154367.1</v>
      </c>
      <c r="Y83" s="78">
        <f t="shared" si="10"/>
        <v>37903.899999999994</v>
      </c>
      <c r="Z83" s="54"/>
      <c r="AA83" s="54"/>
    </row>
    <row r="84" spans="1:27" ht="84.75" customHeight="1" x14ac:dyDescent="0.25">
      <c r="A84" s="173" t="s">
        <v>118</v>
      </c>
      <c r="B84" s="170" t="s">
        <v>96</v>
      </c>
      <c r="C84" s="174"/>
      <c r="D84" s="175" t="s">
        <v>25</v>
      </c>
      <c r="E84" s="171">
        <v>43839</v>
      </c>
      <c r="F84" s="171">
        <v>44104</v>
      </c>
      <c r="G84" s="171">
        <v>43839</v>
      </c>
      <c r="H84" s="171">
        <v>44104</v>
      </c>
      <c r="I84" s="169">
        <v>4070</v>
      </c>
      <c r="J84" s="169">
        <v>4070</v>
      </c>
      <c r="K84" s="169">
        <v>11160</v>
      </c>
      <c r="L84" s="169">
        <f>15230-J84</f>
        <v>11160</v>
      </c>
      <c r="M84" s="169">
        <v>2519.6999999999998</v>
      </c>
      <c r="N84" s="169">
        <f>17749.7-L84-J84</f>
        <v>2519.7000000000007</v>
      </c>
      <c r="O84" s="169">
        <v>0</v>
      </c>
      <c r="P84" s="169">
        <v>0</v>
      </c>
      <c r="Q84" s="170"/>
      <c r="R84" s="178"/>
      <c r="S84" s="182">
        <v>17749.7</v>
      </c>
      <c r="T84" s="181"/>
      <c r="U84" s="54"/>
      <c r="V84" s="54"/>
      <c r="W84" s="78">
        <f t="shared" si="12"/>
        <v>17749.7</v>
      </c>
      <c r="X84" s="78">
        <f t="shared" si="13"/>
        <v>17749.7</v>
      </c>
      <c r="Y84" s="78">
        <f t="shared" si="10"/>
        <v>0</v>
      </c>
      <c r="Z84" s="54"/>
      <c r="AA84" s="54"/>
    </row>
    <row r="85" spans="1:27" ht="90" customHeight="1" x14ac:dyDescent="0.25">
      <c r="A85" s="256" t="s">
        <v>119</v>
      </c>
      <c r="B85" s="248" t="s">
        <v>357</v>
      </c>
      <c r="C85" s="260"/>
      <c r="D85" s="259" t="s">
        <v>25</v>
      </c>
      <c r="E85" s="249">
        <v>43839</v>
      </c>
      <c r="F85" s="249">
        <v>44196</v>
      </c>
      <c r="G85" s="249">
        <v>43839</v>
      </c>
      <c r="H85" s="249"/>
      <c r="I85" s="251">
        <v>638.4</v>
      </c>
      <c r="J85" s="251">
        <v>638.4</v>
      </c>
      <c r="K85" s="251">
        <v>130.1</v>
      </c>
      <c r="L85" s="251">
        <f>768.5-J85</f>
        <v>130.10000000000002</v>
      </c>
      <c r="M85" s="251">
        <v>78</v>
      </c>
      <c r="N85" s="251">
        <f>846.5-L85-J85</f>
        <v>78</v>
      </c>
      <c r="O85" s="251">
        <v>455.6</v>
      </c>
      <c r="P85" s="251">
        <v>0</v>
      </c>
      <c r="Q85" s="248" t="s">
        <v>519</v>
      </c>
      <c r="R85" s="178"/>
      <c r="S85" s="182">
        <v>1302.0999999999999</v>
      </c>
      <c r="T85" s="181"/>
      <c r="U85" s="54"/>
      <c r="V85" s="54"/>
      <c r="W85" s="78">
        <f t="shared" si="12"/>
        <v>1302.0999999999999</v>
      </c>
      <c r="X85" s="78">
        <f t="shared" si="13"/>
        <v>846.5</v>
      </c>
      <c r="Y85" s="78">
        <f t="shared" si="10"/>
        <v>455.59999999999991</v>
      </c>
      <c r="Z85" s="54"/>
      <c r="AA85" s="54"/>
    </row>
    <row r="86" spans="1:27" ht="242.25" customHeight="1" x14ac:dyDescent="0.25">
      <c r="A86" s="256"/>
      <c r="B86" s="248"/>
      <c r="C86" s="260"/>
      <c r="D86" s="259"/>
      <c r="E86" s="250"/>
      <c r="F86" s="250"/>
      <c r="G86" s="249"/>
      <c r="H86" s="250"/>
      <c r="I86" s="251"/>
      <c r="J86" s="251"/>
      <c r="K86" s="251"/>
      <c r="L86" s="251"/>
      <c r="M86" s="251"/>
      <c r="N86" s="251"/>
      <c r="O86" s="251"/>
      <c r="P86" s="251"/>
      <c r="Q86" s="248"/>
      <c r="R86" s="178"/>
      <c r="S86" s="182"/>
      <c r="T86" s="181"/>
      <c r="U86" s="54"/>
      <c r="V86" s="54"/>
      <c r="W86" s="78">
        <f t="shared" si="12"/>
        <v>0</v>
      </c>
      <c r="X86" s="78">
        <f t="shared" si="13"/>
        <v>0</v>
      </c>
      <c r="Y86" s="78">
        <f t="shared" si="10"/>
        <v>0</v>
      </c>
      <c r="Z86" s="54"/>
      <c r="AA86" s="54"/>
    </row>
    <row r="87" spans="1:27" ht="327.75" customHeight="1" x14ac:dyDescent="0.25">
      <c r="A87" s="256" t="s">
        <v>86</v>
      </c>
      <c r="B87" s="248" t="s">
        <v>457</v>
      </c>
      <c r="C87" s="260"/>
      <c r="D87" s="259" t="s">
        <v>358</v>
      </c>
      <c r="E87" s="249">
        <v>43839</v>
      </c>
      <c r="F87" s="249">
        <v>44196</v>
      </c>
      <c r="G87" s="249">
        <v>43839</v>
      </c>
      <c r="H87" s="249"/>
      <c r="I87" s="251">
        <v>97853.1</v>
      </c>
      <c r="J87" s="251">
        <v>97853.1</v>
      </c>
      <c r="K87" s="251">
        <v>84000</v>
      </c>
      <c r="L87" s="251">
        <f>181853.1-J87</f>
        <v>84000</v>
      </c>
      <c r="M87" s="251">
        <v>84000</v>
      </c>
      <c r="N87" s="251">
        <f>265853.1-L87-J87</f>
        <v>83999.999999999971</v>
      </c>
      <c r="O87" s="251">
        <v>86000</v>
      </c>
      <c r="P87" s="251">
        <v>0</v>
      </c>
      <c r="Q87" s="248" t="s">
        <v>519</v>
      </c>
      <c r="R87" s="178"/>
      <c r="S87" s="182">
        <v>351853.1</v>
      </c>
      <c r="T87" s="181"/>
      <c r="U87" s="54"/>
      <c r="V87" s="54"/>
      <c r="W87" s="78">
        <f t="shared" si="12"/>
        <v>351853.1</v>
      </c>
      <c r="X87" s="78">
        <f t="shared" si="13"/>
        <v>265853.09999999998</v>
      </c>
      <c r="Y87" s="78">
        <f t="shared" si="10"/>
        <v>86000</v>
      </c>
      <c r="Z87" s="54"/>
      <c r="AA87" s="54"/>
    </row>
    <row r="88" spans="1:27" ht="143.25" customHeight="1" x14ac:dyDescent="0.25">
      <c r="A88" s="256"/>
      <c r="B88" s="248"/>
      <c r="C88" s="260"/>
      <c r="D88" s="259"/>
      <c r="E88" s="249"/>
      <c r="F88" s="249"/>
      <c r="G88" s="249"/>
      <c r="H88" s="249"/>
      <c r="I88" s="251"/>
      <c r="J88" s="251"/>
      <c r="K88" s="251"/>
      <c r="L88" s="251"/>
      <c r="M88" s="251"/>
      <c r="N88" s="251"/>
      <c r="O88" s="251"/>
      <c r="P88" s="251"/>
      <c r="Q88" s="248"/>
      <c r="R88" s="178"/>
      <c r="S88" s="182"/>
      <c r="T88" s="181"/>
      <c r="U88" s="54"/>
      <c r="V88" s="54"/>
      <c r="W88" s="78">
        <f t="shared" si="12"/>
        <v>0</v>
      </c>
      <c r="X88" s="78">
        <f t="shared" si="13"/>
        <v>0</v>
      </c>
      <c r="Y88" s="78">
        <f t="shared" si="10"/>
        <v>0</v>
      </c>
      <c r="Z88" s="54"/>
      <c r="AA88" s="54"/>
    </row>
    <row r="89" spans="1:27" ht="123.75" customHeight="1" x14ac:dyDescent="0.25">
      <c r="A89" s="173" t="s">
        <v>38</v>
      </c>
      <c r="B89" s="170" t="s">
        <v>461</v>
      </c>
      <c r="C89" s="174"/>
      <c r="D89" s="175" t="s">
        <v>359</v>
      </c>
      <c r="E89" s="171">
        <v>43839</v>
      </c>
      <c r="F89" s="171">
        <v>44196</v>
      </c>
      <c r="G89" s="171">
        <v>43839</v>
      </c>
      <c r="H89" s="171"/>
      <c r="I89" s="169">
        <v>250634.1</v>
      </c>
      <c r="J89" s="169">
        <v>251043.20000000001</v>
      </c>
      <c r="K89" s="169">
        <v>250454.9</v>
      </c>
      <c r="L89" s="169">
        <f>501250.9-J89</f>
        <v>250207.7</v>
      </c>
      <c r="M89" s="169">
        <v>268385.5</v>
      </c>
      <c r="N89" s="169">
        <f>770071.7-L89-J89</f>
        <v>268820.79999999993</v>
      </c>
      <c r="O89" s="169">
        <v>246408.1</v>
      </c>
      <c r="P89" s="169">
        <v>0</v>
      </c>
      <c r="Q89" s="170" t="s">
        <v>519</v>
      </c>
      <c r="R89" s="178"/>
      <c r="S89" s="182">
        <v>1015882.6</v>
      </c>
      <c r="T89" s="181"/>
      <c r="U89" s="54"/>
      <c r="V89" s="54"/>
      <c r="W89" s="78">
        <f t="shared" si="12"/>
        <v>1015882.6</v>
      </c>
      <c r="X89" s="78">
        <f t="shared" si="13"/>
        <v>770071.7</v>
      </c>
      <c r="Y89" s="78">
        <f t="shared" si="10"/>
        <v>245810.90000000002</v>
      </c>
      <c r="Z89" s="54"/>
      <c r="AA89" s="54"/>
    </row>
    <row r="90" spans="1:27" ht="408.75" customHeight="1" x14ac:dyDescent="0.25">
      <c r="A90" s="256" t="s">
        <v>39</v>
      </c>
      <c r="B90" s="248" t="s">
        <v>458</v>
      </c>
      <c r="C90" s="260"/>
      <c r="D90" s="259" t="s">
        <v>360</v>
      </c>
      <c r="E90" s="249">
        <v>43839</v>
      </c>
      <c r="F90" s="249">
        <v>44196</v>
      </c>
      <c r="G90" s="249">
        <v>43839</v>
      </c>
      <c r="H90" s="249"/>
      <c r="I90" s="251">
        <v>31953.5</v>
      </c>
      <c r="J90" s="251">
        <v>31950.1</v>
      </c>
      <c r="K90" s="251">
        <v>27506.6</v>
      </c>
      <c r="L90" s="251">
        <f>66963.8-J90</f>
        <v>35013.700000000004</v>
      </c>
      <c r="M90" s="251">
        <v>28673.599999999999</v>
      </c>
      <c r="N90" s="251">
        <f>88228.3-L90-J90</f>
        <v>21264.5</v>
      </c>
      <c r="O90" s="251">
        <v>23474.400000000001</v>
      </c>
      <c r="P90" s="251">
        <v>0</v>
      </c>
      <c r="Q90" s="248" t="s">
        <v>519</v>
      </c>
      <c r="R90" s="178"/>
      <c r="S90" s="182">
        <v>111608.1</v>
      </c>
      <c r="T90" s="181"/>
      <c r="U90" s="54"/>
      <c r="V90" s="54"/>
      <c r="W90" s="78">
        <f t="shared" si="12"/>
        <v>111608.1</v>
      </c>
      <c r="X90" s="78">
        <f t="shared" si="13"/>
        <v>88228.3</v>
      </c>
      <c r="Y90" s="78">
        <f t="shared" si="10"/>
        <v>23379.800000000003</v>
      </c>
      <c r="Z90" s="54"/>
      <c r="AA90" s="54"/>
    </row>
    <row r="91" spans="1:27" ht="28.5" customHeight="1" x14ac:dyDescent="0.25">
      <c r="A91" s="256"/>
      <c r="B91" s="248"/>
      <c r="C91" s="260"/>
      <c r="D91" s="259"/>
      <c r="E91" s="249"/>
      <c r="F91" s="250"/>
      <c r="G91" s="249"/>
      <c r="H91" s="250"/>
      <c r="I91" s="251"/>
      <c r="J91" s="251"/>
      <c r="K91" s="251"/>
      <c r="L91" s="251"/>
      <c r="M91" s="251"/>
      <c r="N91" s="251"/>
      <c r="O91" s="251"/>
      <c r="P91" s="251"/>
      <c r="Q91" s="248"/>
      <c r="R91" s="178"/>
      <c r="S91" s="182"/>
      <c r="T91" s="181"/>
      <c r="U91" s="54"/>
      <c r="V91" s="54"/>
      <c r="W91" s="78">
        <f t="shared" si="12"/>
        <v>0</v>
      </c>
      <c r="X91" s="78">
        <f t="shared" si="13"/>
        <v>0</v>
      </c>
      <c r="Y91" s="78">
        <f t="shared" si="10"/>
        <v>0</v>
      </c>
      <c r="Z91" s="54"/>
      <c r="AA91" s="54"/>
    </row>
    <row r="92" spans="1:27" ht="240.75" customHeight="1" x14ac:dyDescent="0.25">
      <c r="A92" s="173" t="s">
        <v>43</v>
      </c>
      <c r="B92" s="170" t="s">
        <v>361</v>
      </c>
      <c r="C92" s="174"/>
      <c r="D92" s="175" t="s">
        <v>360</v>
      </c>
      <c r="E92" s="171">
        <v>43839</v>
      </c>
      <c r="F92" s="171">
        <v>44196</v>
      </c>
      <c r="G92" s="171">
        <v>43839</v>
      </c>
      <c r="H92" s="171"/>
      <c r="I92" s="169">
        <v>5385.8</v>
      </c>
      <c r="J92" s="169">
        <v>5394.9</v>
      </c>
      <c r="K92" s="169">
        <v>5279.8</v>
      </c>
      <c r="L92" s="169">
        <f>10665.6-J92</f>
        <v>5270.7000000000007</v>
      </c>
      <c r="M92" s="169">
        <v>4453.8</v>
      </c>
      <c r="N92" s="169">
        <f>15168.3-L92-J92</f>
        <v>4502.6999999999989</v>
      </c>
      <c r="O92" s="169">
        <v>10208.9</v>
      </c>
      <c r="P92" s="169">
        <v>0</v>
      </c>
      <c r="Q92" s="170" t="s">
        <v>519</v>
      </c>
      <c r="R92" s="178"/>
      <c r="S92" s="182">
        <v>25328.3</v>
      </c>
      <c r="T92" s="181"/>
      <c r="U92" s="54"/>
      <c r="V92" s="54"/>
      <c r="W92" s="78">
        <f t="shared" si="12"/>
        <v>25328.300000000003</v>
      </c>
      <c r="X92" s="78">
        <f t="shared" si="13"/>
        <v>15168.3</v>
      </c>
      <c r="Y92" s="78">
        <f t="shared" si="10"/>
        <v>10160.000000000004</v>
      </c>
      <c r="Z92" s="54"/>
      <c r="AA92" s="54"/>
    </row>
    <row r="93" spans="1:27" ht="297.75" customHeight="1" x14ac:dyDescent="0.25">
      <c r="A93" s="173" t="s">
        <v>121</v>
      </c>
      <c r="B93" s="170" t="s">
        <v>362</v>
      </c>
      <c r="C93" s="174"/>
      <c r="D93" s="175" t="s">
        <v>360</v>
      </c>
      <c r="E93" s="171">
        <v>43839</v>
      </c>
      <c r="F93" s="171">
        <v>44196</v>
      </c>
      <c r="G93" s="171">
        <v>43839</v>
      </c>
      <c r="H93" s="171"/>
      <c r="I93" s="169">
        <v>790587.8</v>
      </c>
      <c r="J93" s="169">
        <v>794238.9</v>
      </c>
      <c r="K93" s="169">
        <v>732731.8</v>
      </c>
      <c r="L93" s="169">
        <f>1525379.5-J93</f>
        <v>731140.6</v>
      </c>
      <c r="M93" s="169">
        <v>914244.6</v>
      </c>
      <c r="N93" s="169">
        <f>2446431.9-L93-J93</f>
        <v>921052.39999999979</v>
      </c>
      <c r="O93" s="169">
        <v>1337270.1000000001</v>
      </c>
      <c r="P93" s="169">
        <v>0</v>
      </c>
      <c r="Q93" s="170" t="s">
        <v>519</v>
      </c>
      <c r="R93" s="178"/>
      <c r="S93" s="182">
        <v>3774834.3</v>
      </c>
      <c r="T93" s="181"/>
      <c r="U93" s="54"/>
      <c r="V93" s="54"/>
      <c r="W93" s="78">
        <f t="shared" si="12"/>
        <v>3774834.3000000003</v>
      </c>
      <c r="X93" s="78">
        <f t="shared" si="13"/>
        <v>2446431.9</v>
      </c>
      <c r="Y93" s="78">
        <f t="shared" si="10"/>
        <v>1328402.4000000004</v>
      </c>
      <c r="Z93" s="54"/>
      <c r="AA93" s="54"/>
    </row>
    <row r="94" spans="1:27" ht="408.75" customHeight="1" x14ac:dyDescent="0.25">
      <c r="A94" s="256" t="s">
        <v>122</v>
      </c>
      <c r="B94" s="248" t="s">
        <v>462</v>
      </c>
      <c r="C94" s="260"/>
      <c r="D94" s="259" t="s">
        <v>360</v>
      </c>
      <c r="E94" s="249">
        <v>43839</v>
      </c>
      <c r="F94" s="249">
        <v>44196</v>
      </c>
      <c r="G94" s="249">
        <v>43839</v>
      </c>
      <c r="H94" s="249"/>
      <c r="I94" s="251">
        <v>904139.2</v>
      </c>
      <c r="J94" s="251">
        <v>904409.4</v>
      </c>
      <c r="K94" s="251">
        <v>879555.6</v>
      </c>
      <c r="L94" s="251">
        <f>2028102.2-J94</f>
        <v>1123692.7999999998</v>
      </c>
      <c r="M94" s="251">
        <v>877822.7</v>
      </c>
      <c r="N94" s="251">
        <f>2663076.6-L94-J94</f>
        <v>634974.40000000026</v>
      </c>
      <c r="O94" s="251">
        <v>789828.2</v>
      </c>
      <c r="P94" s="251">
        <v>0</v>
      </c>
      <c r="Q94" s="248" t="s">
        <v>519</v>
      </c>
      <c r="R94" s="178"/>
      <c r="S94" s="182">
        <v>3451345.7</v>
      </c>
      <c r="T94" s="181"/>
      <c r="U94" s="54"/>
      <c r="V94" s="54"/>
      <c r="W94" s="78">
        <f t="shared" si="12"/>
        <v>3451345.7</v>
      </c>
      <c r="X94" s="78">
        <f t="shared" si="13"/>
        <v>2663076.6</v>
      </c>
      <c r="Y94" s="78">
        <f t="shared" si="10"/>
        <v>788269.10000000009</v>
      </c>
      <c r="Z94" s="54"/>
      <c r="AA94" s="54"/>
    </row>
    <row r="95" spans="1:27" ht="254.25" customHeight="1" x14ac:dyDescent="0.25">
      <c r="A95" s="256"/>
      <c r="B95" s="248"/>
      <c r="C95" s="260"/>
      <c r="D95" s="259"/>
      <c r="E95" s="249"/>
      <c r="F95" s="250"/>
      <c r="G95" s="249"/>
      <c r="H95" s="250"/>
      <c r="I95" s="251"/>
      <c r="J95" s="251"/>
      <c r="K95" s="251"/>
      <c r="L95" s="251"/>
      <c r="M95" s="251"/>
      <c r="N95" s="251"/>
      <c r="O95" s="251"/>
      <c r="P95" s="251"/>
      <c r="Q95" s="248"/>
      <c r="R95" s="178"/>
      <c r="S95" s="182"/>
      <c r="T95" s="181"/>
      <c r="U95" s="54"/>
      <c r="V95" s="54"/>
      <c r="W95" s="78">
        <f t="shared" si="12"/>
        <v>0</v>
      </c>
      <c r="X95" s="78">
        <f t="shared" si="13"/>
        <v>0</v>
      </c>
      <c r="Y95" s="78">
        <f t="shared" si="10"/>
        <v>0</v>
      </c>
      <c r="Z95" s="54"/>
      <c r="AA95" s="54"/>
    </row>
    <row r="96" spans="1:27" ht="219" customHeight="1" x14ac:dyDescent="0.25">
      <c r="A96" s="173" t="s">
        <v>123</v>
      </c>
      <c r="B96" s="170" t="s">
        <v>263</v>
      </c>
      <c r="C96" s="174"/>
      <c r="D96" s="175" t="s">
        <v>360</v>
      </c>
      <c r="E96" s="171">
        <v>43839</v>
      </c>
      <c r="F96" s="171">
        <v>44196</v>
      </c>
      <c r="G96" s="171">
        <v>43839</v>
      </c>
      <c r="H96" s="171"/>
      <c r="I96" s="169">
        <v>937807.8</v>
      </c>
      <c r="J96" s="169">
        <v>941450.5</v>
      </c>
      <c r="K96" s="169">
        <v>1217650.1000000001</v>
      </c>
      <c r="L96" s="169">
        <f>2157753.5-J96</f>
        <v>1216303</v>
      </c>
      <c r="M96" s="169">
        <v>1375587.2</v>
      </c>
      <c r="N96" s="169">
        <f>3539338.7-L96-J96</f>
        <v>1381585.2000000002</v>
      </c>
      <c r="O96" s="169">
        <v>2688939.9</v>
      </c>
      <c r="P96" s="169">
        <v>0</v>
      </c>
      <c r="Q96" s="170" t="s">
        <v>519</v>
      </c>
      <c r="R96" s="178"/>
      <c r="S96" s="182">
        <v>6219985</v>
      </c>
      <c r="T96" s="181"/>
      <c r="U96" s="54"/>
      <c r="V96" s="54"/>
      <c r="W96" s="78">
        <f>I96+K96+M96+O96</f>
        <v>6219985</v>
      </c>
      <c r="X96" s="78">
        <f t="shared" si="13"/>
        <v>3539338.7</v>
      </c>
      <c r="Y96" s="78">
        <f t="shared" si="10"/>
        <v>2680646.2999999998</v>
      </c>
      <c r="Z96" s="54"/>
      <c r="AA96" s="54"/>
    </row>
    <row r="97" spans="1:27" ht="123" customHeight="1" x14ac:dyDescent="0.25">
      <c r="A97" s="173" t="s">
        <v>300</v>
      </c>
      <c r="B97" s="170" t="s">
        <v>301</v>
      </c>
      <c r="C97" s="174"/>
      <c r="D97" s="175" t="s">
        <v>360</v>
      </c>
      <c r="E97" s="171">
        <v>43922</v>
      </c>
      <c r="F97" s="171">
        <v>44196</v>
      </c>
      <c r="G97" s="171">
        <v>43922</v>
      </c>
      <c r="H97" s="171"/>
      <c r="I97" s="169">
        <v>0</v>
      </c>
      <c r="J97" s="169">
        <v>0</v>
      </c>
      <c r="K97" s="169">
        <v>305831</v>
      </c>
      <c r="L97" s="169">
        <f>559101.5-J97</f>
        <v>559101.5</v>
      </c>
      <c r="M97" s="169">
        <v>7840759</v>
      </c>
      <c r="N97" s="169">
        <f>(6323614.2+1998888.1)-L97-J97</f>
        <v>7763400.8000000007</v>
      </c>
      <c r="O97" s="169">
        <v>719909.9</v>
      </c>
      <c r="P97" s="169">
        <v>0</v>
      </c>
      <c r="Q97" s="170" t="s">
        <v>519</v>
      </c>
      <c r="R97" s="178"/>
      <c r="S97" s="182">
        <v>8866499.9000000004</v>
      </c>
      <c r="T97" s="181"/>
      <c r="U97" s="54"/>
      <c r="V97" s="54"/>
      <c r="W97" s="78">
        <f>I97+K97+M97+O97</f>
        <v>8866499.9000000004</v>
      </c>
      <c r="X97" s="78">
        <f t="shared" si="13"/>
        <v>8322502.3000000007</v>
      </c>
      <c r="Y97" s="78">
        <f t="shared" si="10"/>
        <v>543997.59999999963</v>
      </c>
      <c r="Z97" s="54"/>
      <c r="AA97" s="54"/>
    </row>
    <row r="98" spans="1:27" ht="144" customHeight="1" x14ac:dyDescent="0.25">
      <c r="A98" s="173" t="s">
        <v>45</v>
      </c>
      <c r="B98" s="170" t="s">
        <v>124</v>
      </c>
      <c r="C98" s="174"/>
      <c r="D98" s="175" t="s">
        <v>363</v>
      </c>
      <c r="E98" s="171">
        <v>44013</v>
      </c>
      <c r="F98" s="171">
        <v>44104</v>
      </c>
      <c r="G98" s="171">
        <v>44013</v>
      </c>
      <c r="H98" s="171">
        <v>44104</v>
      </c>
      <c r="I98" s="169">
        <v>0</v>
      </c>
      <c r="J98" s="169">
        <v>0</v>
      </c>
      <c r="K98" s="169">
        <v>0</v>
      </c>
      <c r="L98" s="169">
        <v>0</v>
      </c>
      <c r="M98" s="169">
        <v>17241.400000000001</v>
      </c>
      <c r="N98" s="169">
        <v>17241.400000000001</v>
      </c>
      <c r="O98" s="169">
        <v>0</v>
      </c>
      <c r="P98" s="169">
        <v>0</v>
      </c>
      <c r="Q98" s="170"/>
      <c r="R98" s="178"/>
      <c r="S98" s="182">
        <v>17241.400000000001</v>
      </c>
      <c r="T98" s="181"/>
      <c r="U98" s="54"/>
      <c r="V98" s="54"/>
      <c r="W98" s="78">
        <f t="shared" si="12"/>
        <v>17241.400000000001</v>
      </c>
      <c r="X98" s="78">
        <f t="shared" si="13"/>
        <v>17241.400000000001</v>
      </c>
      <c r="Y98" s="78">
        <f t="shared" si="10"/>
        <v>0</v>
      </c>
      <c r="Z98" s="54"/>
      <c r="AA98" s="54"/>
    </row>
    <row r="99" spans="1:27" ht="142.5" customHeight="1" x14ac:dyDescent="0.25">
      <c r="A99" s="173" t="s">
        <v>47</v>
      </c>
      <c r="B99" s="170" t="s">
        <v>125</v>
      </c>
      <c r="C99" s="174"/>
      <c r="D99" s="175" t="s">
        <v>364</v>
      </c>
      <c r="E99" s="171">
        <v>43839</v>
      </c>
      <c r="F99" s="171">
        <v>44196</v>
      </c>
      <c r="G99" s="171">
        <v>43839</v>
      </c>
      <c r="H99" s="171"/>
      <c r="I99" s="169">
        <v>14600</v>
      </c>
      <c r="J99" s="169">
        <v>14600</v>
      </c>
      <c r="K99" s="169">
        <v>11400</v>
      </c>
      <c r="L99" s="169">
        <f>26000-J99</f>
        <v>11400</v>
      </c>
      <c r="M99" s="169">
        <v>26400</v>
      </c>
      <c r="N99" s="169">
        <f>53000-L99-J99</f>
        <v>27000</v>
      </c>
      <c r="O99" s="169">
        <v>24841.5</v>
      </c>
      <c r="P99" s="169">
        <v>0</v>
      </c>
      <c r="Q99" s="170" t="s">
        <v>519</v>
      </c>
      <c r="R99" s="178"/>
      <c r="S99" s="182">
        <v>77241.5</v>
      </c>
      <c r="T99" s="181"/>
      <c r="U99" s="54"/>
      <c r="V99" s="54"/>
      <c r="W99" s="78">
        <f t="shared" si="12"/>
        <v>77241.5</v>
      </c>
      <c r="X99" s="78">
        <f t="shared" si="13"/>
        <v>53000</v>
      </c>
      <c r="Y99" s="78">
        <f t="shared" ref="Y99:Y122" si="14">W99-X99</f>
        <v>24241.5</v>
      </c>
      <c r="Z99" s="54"/>
      <c r="AA99" s="54"/>
    </row>
    <row r="100" spans="1:27" ht="126" customHeight="1" x14ac:dyDescent="0.25">
      <c r="A100" s="173" t="s">
        <v>49</v>
      </c>
      <c r="B100" s="170" t="s">
        <v>252</v>
      </c>
      <c r="C100" s="174"/>
      <c r="D100" s="175" t="s">
        <v>360</v>
      </c>
      <c r="E100" s="171">
        <v>43839</v>
      </c>
      <c r="F100" s="171">
        <v>44196</v>
      </c>
      <c r="G100" s="171">
        <v>43839</v>
      </c>
      <c r="H100" s="171"/>
      <c r="I100" s="169">
        <v>340316.5</v>
      </c>
      <c r="J100" s="169">
        <v>340340.9</v>
      </c>
      <c r="K100" s="169">
        <v>344529.3</v>
      </c>
      <c r="L100" s="169">
        <f>684961-J100</f>
        <v>344620.1</v>
      </c>
      <c r="M100" s="169">
        <v>350046.5</v>
      </c>
      <c r="N100" s="169">
        <f>1035448.7-L100-J100</f>
        <v>350487.69999999995</v>
      </c>
      <c r="O100" s="169">
        <v>334904.5</v>
      </c>
      <c r="P100" s="169">
        <v>0</v>
      </c>
      <c r="Q100" s="170" t="s">
        <v>519</v>
      </c>
      <c r="R100" s="178"/>
      <c r="S100" s="182">
        <v>1369796.8</v>
      </c>
      <c r="T100" s="181"/>
      <c r="U100" s="54"/>
      <c r="V100" s="54"/>
      <c r="W100" s="78">
        <f t="shared" si="12"/>
        <v>1369796.8</v>
      </c>
      <c r="X100" s="78">
        <f t="shared" si="13"/>
        <v>1035448.7</v>
      </c>
      <c r="Y100" s="78">
        <f t="shared" si="14"/>
        <v>334348.10000000009</v>
      </c>
      <c r="Z100" s="54"/>
      <c r="AA100" s="54"/>
    </row>
    <row r="101" spans="1:27" ht="141" customHeight="1" x14ac:dyDescent="0.25">
      <c r="A101" s="173" t="s">
        <v>101</v>
      </c>
      <c r="B101" s="170" t="s">
        <v>127</v>
      </c>
      <c r="C101" s="174"/>
      <c r="D101" s="175" t="s">
        <v>365</v>
      </c>
      <c r="E101" s="171">
        <v>43839</v>
      </c>
      <c r="F101" s="171">
        <v>44196</v>
      </c>
      <c r="G101" s="171">
        <v>43839</v>
      </c>
      <c r="H101" s="171"/>
      <c r="I101" s="169">
        <v>6354.9</v>
      </c>
      <c r="J101" s="169">
        <v>6390.6</v>
      </c>
      <c r="K101" s="169">
        <v>7876.4</v>
      </c>
      <c r="L101" s="169">
        <f>14303.4-J101</f>
        <v>7912.7999999999993</v>
      </c>
      <c r="M101" s="169">
        <v>8362.5</v>
      </c>
      <c r="N101" s="169">
        <f>22683.8-L101-J101</f>
        <v>8380.4</v>
      </c>
      <c r="O101" s="169">
        <v>14582.1</v>
      </c>
      <c r="P101" s="169">
        <v>0</v>
      </c>
      <c r="Q101" s="170" t="s">
        <v>519</v>
      </c>
      <c r="R101" s="178"/>
      <c r="S101" s="182">
        <v>37175.9</v>
      </c>
      <c r="T101" s="181"/>
      <c r="U101" s="54"/>
      <c r="V101" s="54"/>
      <c r="W101" s="78">
        <f t="shared" si="12"/>
        <v>37175.9</v>
      </c>
      <c r="X101" s="78">
        <f t="shared" si="13"/>
        <v>22683.8</v>
      </c>
      <c r="Y101" s="78">
        <f t="shared" si="14"/>
        <v>14492.100000000002</v>
      </c>
      <c r="Z101" s="54"/>
      <c r="AA101" s="54"/>
    </row>
    <row r="102" spans="1:27" ht="159" customHeight="1" x14ac:dyDescent="0.25">
      <c r="A102" s="173" t="s">
        <v>105</v>
      </c>
      <c r="B102" s="170" t="s">
        <v>253</v>
      </c>
      <c r="C102" s="174"/>
      <c r="D102" s="175" t="s">
        <v>366</v>
      </c>
      <c r="E102" s="171">
        <v>43839</v>
      </c>
      <c r="F102" s="171">
        <v>44196</v>
      </c>
      <c r="G102" s="171">
        <v>43839</v>
      </c>
      <c r="H102" s="171"/>
      <c r="I102" s="169">
        <v>97750.2</v>
      </c>
      <c r="J102" s="169">
        <v>100666.9</v>
      </c>
      <c r="K102" s="169">
        <v>90104.1</v>
      </c>
      <c r="L102" s="169">
        <f>190051.7-J102</f>
        <v>89384.800000000017</v>
      </c>
      <c r="M102" s="169">
        <v>139020.9</v>
      </c>
      <c r="N102" s="169">
        <f>329859.6-L102-J102</f>
        <v>139807.89999999997</v>
      </c>
      <c r="O102" s="169">
        <v>132532.9</v>
      </c>
      <c r="P102" s="169">
        <v>0</v>
      </c>
      <c r="Q102" s="170" t="s">
        <v>519</v>
      </c>
      <c r="R102" s="178"/>
      <c r="S102" s="182">
        <v>459408.1</v>
      </c>
      <c r="T102" s="181"/>
      <c r="U102" s="54"/>
      <c r="V102" s="54"/>
      <c r="W102" s="78">
        <f t="shared" si="12"/>
        <v>459408.1</v>
      </c>
      <c r="X102" s="78">
        <f t="shared" si="13"/>
        <v>329859.59999999998</v>
      </c>
      <c r="Y102" s="78">
        <f t="shared" si="14"/>
        <v>129548.5</v>
      </c>
      <c r="Z102" s="54"/>
      <c r="AA102" s="54"/>
    </row>
    <row r="103" spans="1:27" ht="81" customHeight="1" x14ac:dyDescent="0.25">
      <c r="A103" s="173" t="s">
        <v>107</v>
      </c>
      <c r="B103" s="170" t="s">
        <v>254</v>
      </c>
      <c r="C103" s="174"/>
      <c r="D103" s="175" t="s">
        <v>367</v>
      </c>
      <c r="E103" s="171">
        <v>43922</v>
      </c>
      <c r="F103" s="171">
        <v>44012</v>
      </c>
      <c r="G103" s="171">
        <v>43922</v>
      </c>
      <c r="H103" s="171">
        <v>44012</v>
      </c>
      <c r="I103" s="169">
        <v>0</v>
      </c>
      <c r="J103" s="169">
        <v>0</v>
      </c>
      <c r="K103" s="169">
        <v>203.5</v>
      </c>
      <c r="L103" s="169">
        <v>203.5</v>
      </c>
      <c r="M103" s="169">
        <v>0</v>
      </c>
      <c r="N103" s="169">
        <v>0</v>
      </c>
      <c r="O103" s="169">
        <v>0</v>
      </c>
      <c r="P103" s="169">
        <v>0</v>
      </c>
      <c r="Q103" s="170"/>
      <c r="R103" s="178"/>
      <c r="S103" s="182">
        <v>203.5</v>
      </c>
      <c r="T103" s="181"/>
      <c r="U103" s="54"/>
      <c r="V103" s="54"/>
      <c r="W103" s="78">
        <f t="shared" ref="W103:W118" si="15">I103+K103+M103+O103</f>
        <v>203.5</v>
      </c>
      <c r="X103" s="78">
        <f t="shared" si="13"/>
        <v>203.5</v>
      </c>
      <c r="Y103" s="78">
        <f t="shared" si="14"/>
        <v>0</v>
      </c>
      <c r="Z103" s="54"/>
      <c r="AA103" s="54"/>
    </row>
    <row r="104" spans="1:27" ht="408.75" customHeight="1" x14ac:dyDescent="0.25">
      <c r="A104" s="256" t="s">
        <v>50</v>
      </c>
      <c r="B104" s="248" t="s">
        <v>459</v>
      </c>
      <c r="C104" s="260"/>
      <c r="D104" s="259" t="s">
        <v>368</v>
      </c>
      <c r="E104" s="249">
        <v>43839</v>
      </c>
      <c r="F104" s="249">
        <v>44196</v>
      </c>
      <c r="G104" s="249">
        <v>43839</v>
      </c>
      <c r="H104" s="249"/>
      <c r="I104" s="251">
        <v>458504.1</v>
      </c>
      <c r="J104" s="251">
        <v>481461.6</v>
      </c>
      <c r="K104" s="251">
        <v>448776.5</v>
      </c>
      <c r="L104" s="251">
        <f>957773-J104</f>
        <v>476311.4</v>
      </c>
      <c r="M104" s="251">
        <v>481813.6</v>
      </c>
      <c r="N104" s="251">
        <f>1431487.3-L104-J104</f>
        <v>473714.30000000005</v>
      </c>
      <c r="O104" s="251">
        <v>549122.19999999995</v>
      </c>
      <c r="P104" s="251">
        <v>0</v>
      </c>
      <c r="Q104" s="248" t="s">
        <v>519</v>
      </c>
      <c r="R104" s="178"/>
      <c r="S104" s="182">
        <v>1938216.4</v>
      </c>
      <c r="T104" s="181"/>
      <c r="U104" s="54"/>
      <c r="V104" s="54"/>
      <c r="W104" s="78">
        <f t="shared" si="15"/>
        <v>1938216.4</v>
      </c>
      <c r="X104" s="78">
        <f t="shared" ref="X104:X118" si="16">J104+L104+N104+P104</f>
        <v>1431487.3</v>
      </c>
      <c r="Y104" s="78">
        <f t="shared" si="14"/>
        <v>506729.09999999986</v>
      </c>
      <c r="Z104" s="54"/>
      <c r="AA104" s="54"/>
    </row>
    <row r="105" spans="1:27" ht="82.5" customHeight="1" x14ac:dyDescent="0.25">
      <c r="A105" s="256"/>
      <c r="B105" s="248"/>
      <c r="C105" s="260"/>
      <c r="D105" s="259"/>
      <c r="E105" s="250"/>
      <c r="F105" s="250"/>
      <c r="G105" s="249"/>
      <c r="H105" s="250"/>
      <c r="I105" s="251"/>
      <c r="J105" s="251"/>
      <c r="K105" s="251"/>
      <c r="L105" s="251"/>
      <c r="M105" s="251"/>
      <c r="N105" s="251"/>
      <c r="O105" s="251"/>
      <c r="P105" s="251"/>
      <c r="Q105" s="248"/>
      <c r="R105" s="178"/>
      <c r="S105" s="182"/>
      <c r="T105" s="181"/>
      <c r="U105" s="54"/>
      <c r="V105" s="54"/>
      <c r="W105" s="78">
        <f t="shared" si="15"/>
        <v>0</v>
      </c>
      <c r="X105" s="78">
        <f t="shared" si="16"/>
        <v>0</v>
      </c>
      <c r="Y105" s="78">
        <f t="shared" si="14"/>
        <v>0</v>
      </c>
      <c r="Z105" s="54"/>
      <c r="AA105" s="54"/>
    </row>
    <row r="106" spans="1:27" ht="213" customHeight="1" x14ac:dyDescent="0.25">
      <c r="A106" s="256" t="s">
        <v>51</v>
      </c>
      <c r="B106" s="248" t="s">
        <v>422</v>
      </c>
      <c r="C106" s="260"/>
      <c r="D106" s="259" t="s">
        <v>369</v>
      </c>
      <c r="E106" s="249">
        <v>43839</v>
      </c>
      <c r="F106" s="249">
        <v>44196</v>
      </c>
      <c r="G106" s="249">
        <v>43839</v>
      </c>
      <c r="H106" s="249"/>
      <c r="I106" s="251">
        <v>326201.3</v>
      </c>
      <c r="J106" s="251">
        <v>346837.4</v>
      </c>
      <c r="K106" s="251">
        <v>396443.5</v>
      </c>
      <c r="L106" s="251">
        <f>753965.5-J106</f>
        <v>407128.1</v>
      </c>
      <c r="M106" s="251">
        <v>401497.3</v>
      </c>
      <c r="N106" s="251">
        <f>1138538.1-L106-J106</f>
        <v>384572.60000000009</v>
      </c>
      <c r="O106" s="251">
        <v>542975.5</v>
      </c>
      <c r="P106" s="251">
        <v>0</v>
      </c>
      <c r="Q106" s="248" t="s">
        <v>519</v>
      </c>
      <c r="R106" s="178"/>
      <c r="S106" s="182">
        <v>1667117.6</v>
      </c>
      <c r="T106" s="181"/>
      <c r="U106" s="54"/>
      <c r="V106" s="54"/>
      <c r="W106" s="78">
        <f t="shared" si="15"/>
        <v>1667117.6</v>
      </c>
      <c r="X106" s="78">
        <f t="shared" si="16"/>
        <v>1138538.1000000001</v>
      </c>
      <c r="Y106" s="78">
        <f t="shared" si="14"/>
        <v>528579.5</v>
      </c>
      <c r="Z106" s="54"/>
      <c r="AA106" s="54"/>
    </row>
    <row r="107" spans="1:27" ht="199.5" customHeight="1" x14ac:dyDescent="0.25">
      <c r="A107" s="256"/>
      <c r="B107" s="248"/>
      <c r="C107" s="260"/>
      <c r="D107" s="259"/>
      <c r="E107" s="249"/>
      <c r="F107" s="249"/>
      <c r="G107" s="249"/>
      <c r="H107" s="249"/>
      <c r="I107" s="251"/>
      <c r="J107" s="251"/>
      <c r="K107" s="251"/>
      <c r="L107" s="251"/>
      <c r="M107" s="251"/>
      <c r="N107" s="251"/>
      <c r="O107" s="251"/>
      <c r="P107" s="251"/>
      <c r="Q107" s="248"/>
      <c r="R107" s="178"/>
      <c r="S107" s="182"/>
      <c r="T107" s="181"/>
      <c r="U107" s="54"/>
      <c r="V107" s="54"/>
      <c r="W107" s="78">
        <f t="shared" si="15"/>
        <v>0</v>
      </c>
      <c r="X107" s="78">
        <f t="shared" si="16"/>
        <v>0</v>
      </c>
      <c r="Y107" s="78">
        <f t="shared" si="14"/>
        <v>0</v>
      </c>
      <c r="Z107" s="54"/>
      <c r="AA107" s="54"/>
    </row>
    <row r="108" spans="1:27" ht="408.75" customHeight="1" x14ac:dyDescent="0.25">
      <c r="A108" s="256" t="s">
        <v>130</v>
      </c>
      <c r="B108" s="248" t="s">
        <v>255</v>
      </c>
      <c r="C108" s="260"/>
      <c r="D108" s="259" t="s">
        <v>369</v>
      </c>
      <c r="E108" s="249">
        <v>43839</v>
      </c>
      <c r="F108" s="249">
        <v>44196</v>
      </c>
      <c r="G108" s="249">
        <v>43839</v>
      </c>
      <c r="H108" s="249"/>
      <c r="I108" s="251">
        <v>2025.4</v>
      </c>
      <c r="J108" s="251">
        <v>2066.9</v>
      </c>
      <c r="K108" s="251">
        <v>2114.1999999999998</v>
      </c>
      <c r="L108" s="251">
        <f>4418.3-J108</f>
        <v>2351.4</v>
      </c>
      <c r="M108" s="251">
        <v>2388.1</v>
      </c>
      <c r="N108" s="251">
        <f>6782-L108-J108</f>
        <v>2363.7000000000003</v>
      </c>
      <c r="O108" s="251">
        <v>9455</v>
      </c>
      <c r="P108" s="251">
        <v>0</v>
      </c>
      <c r="Q108" s="248" t="s">
        <v>519</v>
      </c>
      <c r="R108" s="178"/>
      <c r="S108" s="182">
        <v>15982.7</v>
      </c>
      <c r="T108" s="181"/>
      <c r="U108" s="54"/>
      <c r="V108" s="54"/>
      <c r="W108" s="78">
        <f t="shared" si="15"/>
        <v>15982.7</v>
      </c>
      <c r="X108" s="78">
        <f t="shared" si="16"/>
        <v>6782</v>
      </c>
      <c r="Y108" s="78">
        <f t="shared" si="14"/>
        <v>9200.7000000000007</v>
      </c>
      <c r="Z108" s="54"/>
      <c r="AA108" s="54"/>
    </row>
    <row r="109" spans="1:27" ht="24" customHeight="1" x14ac:dyDescent="0.25">
      <c r="A109" s="256"/>
      <c r="B109" s="248"/>
      <c r="C109" s="260"/>
      <c r="D109" s="259"/>
      <c r="E109" s="250"/>
      <c r="F109" s="250"/>
      <c r="G109" s="249"/>
      <c r="H109" s="250"/>
      <c r="I109" s="251"/>
      <c r="J109" s="251"/>
      <c r="K109" s="251"/>
      <c r="L109" s="251"/>
      <c r="M109" s="251"/>
      <c r="N109" s="251"/>
      <c r="O109" s="251"/>
      <c r="P109" s="251"/>
      <c r="Q109" s="248"/>
      <c r="R109" s="178"/>
      <c r="S109" s="182"/>
      <c r="T109" s="181"/>
      <c r="U109" s="54"/>
      <c r="V109" s="54"/>
      <c r="W109" s="78">
        <f t="shared" si="15"/>
        <v>0</v>
      </c>
      <c r="X109" s="78">
        <f t="shared" si="16"/>
        <v>0</v>
      </c>
      <c r="Y109" s="78">
        <f t="shared" si="14"/>
        <v>0</v>
      </c>
      <c r="Z109" s="54"/>
      <c r="AA109" s="54"/>
    </row>
    <row r="110" spans="1:27" ht="409.5" x14ac:dyDescent="0.25">
      <c r="A110" s="173" t="s">
        <v>131</v>
      </c>
      <c r="B110" s="175" t="s">
        <v>268</v>
      </c>
      <c r="C110" s="175"/>
      <c r="D110" s="175" t="s">
        <v>369</v>
      </c>
      <c r="E110" s="171">
        <v>43839</v>
      </c>
      <c r="F110" s="171">
        <v>44196</v>
      </c>
      <c r="G110" s="171">
        <v>43839</v>
      </c>
      <c r="H110" s="171"/>
      <c r="I110" s="169">
        <v>2077.5</v>
      </c>
      <c r="J110" s="169">
        <v>2134.5</v>
      </c>
      <c r="K110" s="169">
        <v>2776.6</v>
      </c>
      <c r="L110" s="169">
        <f>4938.2-J110</f>
        <v>2803.7</v>
      </c>
      <c r="M110" s="169">
        <v>2806.3</v>
      </c>
      <c r="N110" s="169">
        <f>7753.1-L110-J110</f>
        <v>2814.9000000000005</v>
      </c>
      <c r="O110" s="169">
        <v>12648.9</v>
      </c>
      <c r="P110" s="169">
        <v>0</v>
      </c>
      <c r="Q110" s="170" t="s">
        <v>519</v>
      </c>
      <c r="R110" s="178"/>
      <c r="S110" s="182">
        <v>20309.3</v>
      </c>
      <c r="T110" s="181"/>
      <c r="U110" s="54"/>
      <c r="V110" s="54"/>
      <c r="W110" s="78">
        <f t="shared" si="15"/>
        <v>20309.3</v>
      </c>
      <c r="X110" s="78">
        <f t="shared" si="16"/>
        <v>7753.1</v>
      </c>
      <c r="Y110" s="78">
        <f t="shared" si="14"/>
        <v>12556.199999999999</v>
      </c>
      <c r="Z110" s="54"/>
      <c r="AA110" s="54"/>
    </row>
    <row r="111" spans="1:27" ht="408.75" customHeight="1" x14ac:dyDescent="0.25">
      <c r="A111" s="173" t="s">
        <v>132</v>
      </c>
      <c r="B111" s="170" t="s">
        <v>256</v>
      </c>
      <c r="C111" s="174"/>
      <c r="D111" s="175" t="s">
        <v>369</v>
      </c>
      <c r="E111" s="171">
        <v>43839</v>
      </c>
      <c r="F111" s="171">
        <v>44196</v>
      </c>
      <c r="G111" s="171">
        <v>43839</v>
      </c>
      <c r="H111" s="171"/>
      <c r="I111" s="169">
        <v>64699.3</v>
      </c>
      <c r="J111" s="169">
        <v>69173.899999999994</v>
      </c>
      <c r="K111" s="169">
        <v>83844.899999999994</v>
      </c>
      <c r="L111" s="169">
        <f>154938.3-J111</f>
        <v>85764.4</v>
      </c>
      <c r="M111" s="169">
        <v>88772.6</v>
      </c>
      <c r="N111" s="169">
        <f>241991.6-L111-J111</f>
        <v>87053.300000000017</v>
      </c>
      <c r="O111" s="169">
        <v>152498.1</v>
      </c>
      <c r="P111" s="169">
        <v>0</v>
      </c>
      <c r="Q111" s="170" t="s">
        <v>519</v>
      </c>
      <c r="R111" s="178"/>
      <c r="S111" s="182">
        <v>389814.9</v>
      </c>
      <c r="T111" s="181"/>
      <c r="U111" s="54"/>
      <c r="V111" s="54"/>
      <c r="W111" s="78">
        <f t="shared" si="15"/>
        <v>389814.9</v>
      </c>
      <c r="X111" s="78">
        <f t="shared" si="16"/>
        <v>241991.6</v>
      </c>
      <c r="Y111" s="78">
        <f t="shared" si="14"/>
        <v>147823.30000000002</v>
      </c>
      <c r="Z111" s="54"/>
      <c r="AA111" s="54"/>
    </row>
    <row r="112" spans="1:27" ht="291" customHeight="1" x14ac:dyDescent="0.25">
      <c r="A112" s="173" t="s">
        <v>133</v>
      </c>
      <c r="B112" s="175" t="s">
        <v>386</v>
      </c>
      <c r="C112" s="175"/>
      <c r="D112" s="175" t="s">
        <v>370</v>
      </c>
      <c r="E112" s="171">
        <v>43839</v>
      </c>
      <c r="F112" s="171">
        <v>44196</v>
      </c>
      <c r="G112" s="171">
        <v>43839</v>
      </c>
      <c r="H112" s="171"/>
      <c r="I112" s="169">
        <v>5273.8</v>
      </c>
      <c r="J112" s="169">
        <v>5569.5</v>
      </c>
      <c r="K112" s="169">
        <v>5726.4</v>
      </c>
      <c r="L112" s="169">
        <f>11349.8-J112</f>
        <v>5780.2999999999993</v>
      </c>
      <c r="M112" s="169">
        <v>6338.6</v>
      </c>
      <c r="N112" s="169">
        <f>17632.9-L112-J112</f>
        <v>6283.1000000000022</v>
      </c>
      <c r="O112" s="169">
        <v>10856.4</v>
      </c>
      <c r="P112" s="169">
        <v>0</v>
      </c>
      <c r="Q112" s="170" t="s">
        <v>519</v>
      </c>
      <c r="R112" s="178"/>
      <c r="S112" s="182">
        <v>28195.200000000001</v>
      </c>
      <c r="T112" s="181"/>
      <c r="U112" s="54"/>
      <c r="V112" s="54"/>
      <c r="W112" s="78">
        <f t="shared" si="15"/>
        <v>28195.200000000004</v>
      </c>
      <c r="X112" s="78">
        <f t="shared" si="16"/>
        <v>17632.900000000001</v>
      </c>
      <c r="Y112" s="78">
        <f t="shared" si="14"/>
        <v>10562.300000000003</v>
      </c>
      <c r="Z112" s="54"/>
      <c r="AA112" s="54"/>
    </row>
    <row r="113" spans="1:27" ht="312.75" customHeight="1" x14ac:dyDescent="0.25">
      <c r="A113" s="256" t="s">
        <v>134</v>
      </c>
      <c r="B113" s="248" t="s">
        <v>257</v>
      </c>
      <c r="C113" s="260"/>
      <c r="D113" s="259" t="s">
        <v>371</v>
      </c>
      <c r="E113" s="249">
        <v>43839</v>
      </c>
      <c r="F113" s="249">
        <v>44196</v>
      </c>
      <c r="G113" s="249">
        <v>43839</v>
      </c>
      <c r="H113" s="249"/>
      <c r="I113" s="251">
        <v>32701.9</v>
      </c>
      <c r="J113" s="251">
        <v>34531.4</v>
      </c>
      <c r="K113" s="251">
        <v>39119.199999999997</v>
      </c>
      <c r="L113" s="251">
        <f>75070.3-J113</f>
        <v>40538.9</v>
      </c>
      <c r="M113" s="251">
        <v>42308.7</v>
      </c>
      <c r="N113" s="251">
        <f>116845.2-L113-J113</f>
        <v>41774.899999999987</v>
      </c>
      <c r="O113" s="251">
        <v>69144.2</v>
      </c>
      <c r="P113" s="251">
        <v>0</v>
      </c>
      <c r="Q113" s="248" t="s">
        <v>519</v>
      </c>
      <c r="R113" s="178"/>
      <c r="S113" s="182">
        <v>183274</v>
      </c>
      <c r="T113" s="181"/>
      <c r="U113" s="54"/>
      <c r="V113" s="54"/>
      <c r="W113" s="78">
        <f t="shared" si="15"/>
        <v>183274</v>
      </c>
      <c r="X113" s="78">
        <f t="shared" si="16"/>
        <v>116845.19999999998</v>
      </c>
      <c r="Y113" s="78">
        <f t="shared" si="14"/>
        <v>66428.800000000017</v>
      </c>
      <c r="Z113" s="54"/>
      <c r="AA113" s="54"/>
    </row>
    <row r="114" spans="1:27" ht="18.75" hidden="1" x14ac:dyDescent="0.25">
      <c r="A114" s="256"/>
      <c r="B114" s="248"/>
      <c r="C114" s="260"/>
      <c r="D114" s="259"/>
      <c r="E114" s="261"/>
      <c r="F114" s="250"/>
      <c r="G114" s="249"/>
      <c r="H114" s="250"/>
      <c r="I114" s="251"/>
      <c r="J114" s="251"/>
      <c r="K114" s="251"/>
      <c r="L114" s="251"/>
      <c r="M114" s="251"/>
      <c r="N114" s="251"/>
      <c r="O114" s="251"/>
      <c r="P114" s="251"/>
      <c r="Q114" s="248"/>
      <c r="R114" s="178"/>
      <c r="S114" s="182"/>
      <c r="T114" s="181"/>
      <c r="U114" s="54"/>
      <c r="V114" s="54"/>
      <c r="W114" s="78">
        <f t="shared" si="15"/>
        <v>0</v>
      </c>
      <c r="X114" s="78">
        <f t="shared" si="16"/>
        <v>0</v>
      </c>
      <c r="Y114" s="78">
        <f t="shared" si="14"/>
        <v>0</v>
      </c>
      <c r="Z114" s="54"/>
      <c r="AA114" s="54"/>
    </row>
    <row r="115" spans="1:27" ht="368.25" customHeight="1" x14ac:dyDescent="0.25">
      <c r="A115" s="173" t="s">
        <v>135</v>
      </c>
      <c r="B115" s="170" t="s">
        <v>531</v>
      </c>
      <c r="C115" s="174"/>
      <c r="D115" s="175" t="s">
        <v>372</v>
      </c>
      <c r="E115" s="171">
        <v>43839</v>
      </c>
      <c r="F115" s="171">
        <v>44196</v>
      </c>
      <c r="G115" s="171">
        <v>43839</v>
      </c>
      <c r="H115" s="171"/>
      <c r="I115" s="169">
        <v>25.4</v>
      </c>
      <c r="J115" s="169">
        <v>25.4</v>
      </c>
      <c r="K115" s="169">
        <v>105.9</v>
      </c>
      <c r="L115" s="169">
        <f>131.3-J115</f>
        <v>105.9</v>
      </c>
      <c r="M115" s="169">
        <v>43.6</v>
      </c>
      <c r="N115" s="169">
        <f>174.9-L115-J115</f>
        <v>43.6</v>
      </c>
      <c r="O115" s="169">
        <v>730.3</v>
      </c>
      <c r="P115" s="169">
        <v>0</v>
      </c>
      <c r="Q115" s="170" t="s">
        <v>519</v>
      </c>
      <c r="R115" s="178"/>
      <c r="S115" s="182">
        <v>905.2</v>
      </c>
      <c r="T115" s="181"/>
      <c r="U115" s="54"/>
      <c r="V115" s="54"/>
      <c r="W115" s="78">
        <f t="shared" si="15"/>
        <v>905.19999999999993</v>
      </c>
      <c r="X115" s="78">
        <f t="shared" si="16"/>
        <v>174.9</v>
      </c>
      <c r="Y115" s="78">
        <f t="shared" si="14"/>
        <v>730.3</v>
      </c>
      <c r="Z115" s="54"/>
      <c r="AA115" s="54"/>
    </row>
    <row r="116" spans="1:27" ht="237.75" customHeight="1" x14ac:dyDescent="0.25">
      <c r="A116" s="256" t="s">
        <v>60</v>
      </c>
      <c r="B116" s="248" t="s">
        <v>258</v>
      </c>
      <c r="C116" s="257"/>
      <c r="D116" s="258" t="s">
        <v>352</v>
      </c>
      <c r="E116" s="249">
        <v>43839</v>
      </c>
      <c r="F116" s="249">
        <v>44196</v>
      </c>
      <c r="G116" s="249">
        <v>43839</v>
      </c>
      <c r="H116" s="249"/>
      <c r="I116" s="251">
        <v>175</v>
      </c>
      <c r="J116" s="251">
        <v>175</v>
      </c>
      <c r="K116" s="251">
        <v>636.20000000000005</v>
      </c>
      <c r="L116" s="251">
        <f>1529.9-J116</f>
        <v>1354.9</v>
      </c>
      <c r="M116" s="251">
        <v>1824.8</v>
      </c>
      <c r="N116" s="251">
        <f>2636-L116-J116</f>
        <v>1106.0999999999999</v>
      </c>
      <c r="O116" s="251">
        <v>10397.4</v>
      </c>
      <c r="P116" s="251">
        <v>0</v>
      </c>
      <c r="Q116" s="248" t="s">
        <v>519</v>
      </c>
      <c r="R116" s="178"/>
      <c r="S116" s="182">
        <v>13033.4</v>
      </c>
      <c r="T116" s="181"/>
      <c r="U116" s="54"/>
      <c r="V116" s="54"/>
      <c r="W116" s="78">
        <f t="shared" si="15"/>
        <v>13033.4</v>
      </c>
      <c r="X116" s="78">
        <f t="shared" si="16"/>
        <v>2636</v>
      </c>
      <c r="Y116" s="78">
        <f t="shared" si="14"/>
        <v>10397.4</v>
      </c>
      <c r="Z116" s="54"/>
      <c r="AA116" s="54"/>
    </row>
    <row r="117" spans="1:27" ht="116.25" customHeight="1" x14ac:dyDescent="0.25">
      <c r="A117" s="256"/>
      <c r="B117" s="248"/>
      <c r="C117" s="257"/>
      <c r="D117" s="258"/>
      <c r="E117" s="250"/>
      <c r="F117" s="250"/>
      <c r="G117" s="249"/>
      <c r="H117" s="250"/>
      <c r="I117" s="251"/>
      <c r="J117" s="251"/>
      <c r="K117" s="251"/>
      <c r="L117" s="251"/>
      <c r="M117" s="251"/>
      <c r="N117" s="251"/>
      <c r="O117" s="251"/>
      <c r="P117" s="251"/>
      <c r="Q117" s="248"/>
      <c r="R117" s="178"/>
      <c r="S117" s="182"/>
      <c r="T117" s="181"/>
      <c r="U117" s="54"/>
      <c r="V117" s="54"/>
      <c r="W117" s="78">
        <f t="shared" si="15"/>
        <v>0</v>
      </c>
      <c r="X117" s="78">
        <f t="shared" si="16"/>
        <v>0</v>
      </c>
      <c r="Y117" s="78">
        <f t="shared" si="14"/>
        <v>0</v>
      </c>
      <c r="Z117" s="54"/>
      <c r="AA117" s="54"/>
    </row>
    <row r="118" spans="1:27" ht="18.75" hidden="1" x14ac:dyDescent="0.25">
      <c r="A118" s="256"/>
      <c r="B118" s="248"/>
      <c r="C118" s="257"/>
      <c r="D118" s="258"/>
      <c r="E118" s="250"/>
      <c r="F118" s="250"/>
      <c r="G118" s="249"/>
      <c r="H118" s="250"/>
      <c r="I118" s="251"/>
      <c r="J118" s="251"/>
      <c r="K118" s="251"/>
      <c r="L118" s="251"/>
      <c r="M118" s="251"/>
      <c r="N118" s="251"/>
      <c r="O118" s="251"/>
      <c r="P118" s="251"/>
      <c r="Q118" s="248"/>
      <c r="R118" s="178"/>
      <c r="S118" s="182"/>
      <c r="T118" s="181"/>
      <c r="U118" s="54"/>
      <c r="V118" s="54"/>
      <c r="W118" s="78">
        <f t="shared" si="15"/>
        <v>0</v>
      </c>
      <c r="X118" s="78">
        <f t="shared" si="16"/>
        <v>0</v>
      </c>
      <c r="Y118" s="78">
        <f t="shared" si="14"/>
        <v>0</v>
      </c>
      <c r="Z118" s="54"/>
      <c r="AA118" s="54"/>
    </row>
    <row r="119" spans="1:27" ht="141" customHeight="1" x14ac:dyDescent="0.25">
      <c r="A119" s="173"/>
      <c r="B119" s="170" t="s">
        <v>259</v>
      </c>
      <c r="C119" s="174" t="s">
        <v>25</v>
      </c>
      <c r="D119" s="175" t="s">
        <v>373</v>
      </c>
      <c r="E119" s="172" t="s">
        <v>25</v>
      </c>
      <c r="F119" s="171">
        <v>44196</v>
      </c>
      <c r="G119" s="172" t="s">
        <v>25</v>
      </c>
      <c r="H119" s="171"/>
      <c r="I119" s="169" t="s">
        <v>25</v>
      </c>
      <c r="J119" s="169" t="s">
        <v>25</v>
      </c>
      <c r="K119" s="169" t="s">
        <v>25</v>
      </c>
      <c r="L119" s="169" t="s">
        <v>25</v>
      </c>
      <c r="M119" s="169" t="s">
        <v>25</v>
      </c>
      <c r="N119" s="169" t="s">
        <v>25</v>
      </c>
      <c r="O119" s="169" t="s">
        <v>25</v>
      </c>
      <c r="P119" s="169" t="s">
        <v>25</v>
      </c>
      <c r="Q119" s="169"/>
      <c r="R119" s="178"/>
      <c r="S119" s="182"/>
      <c r="T119" s="181"/>
      <c r="U119" s="54"/>
      <c r="V119" s="54"/>
      <c r="W119" s="78"/>
      <c r="X119" s="78"/>
      <c r="Y119" s="78"/>
      <c r="Z119" s="54"/>
      <c r="AA119" s="54"/>
    </row>
    <row r="120" spans="1:27" ht="250.5" customHeight="1" x14ac:dyDescent="0.25">
      <c r="A120" s="256"/>
      <c r="B120" s="248" t="s">
        <v>260</v>
      </c>
      <c r="C120" s="260" t="s">
        <v>25</v>
      </c>
      <c r="D120" s="259" t="s">
        <v>460</v>
      </c>
      <c r="E120" s="250" t="s">
        <v>25</v>
      </c>
      <c r="F120" s="249">
        <v>44196</v>
      </c>
      <c r="G120" s="250" t="s">
        <v>25</v>
      </c>
      <c r="H120" s="249"/>
      <c r="I120" s="251" t="s">
        <v>25</v>
      </c>
      <c r="J120" s="251" t="s">
        <v>25</v>
      </c>
      <c r="K120" s="251" t="s">
        <v>25</v>
      </c>
      <c r="L120" s="251" t="s">
        <v>25</v>
      </c>
      <c r="M120" s="251" t="s">
        <v>25</v>
      </c>
      <c r="N120" s="251" t="s">
        <v>25</v>
      </c>
      <c r="O120" s="251" t="s">
        <v>25</v>
      </c>
      <c r="P120" s="251" t="s">
        <v>25</v>
      </c>
      <c r="Q120" s="251"/>
      <c r="R120" s="178"/>
      <c r="S120" s="182"/>
      <c r="T120" s="181"/>
      <c r="U120" s="54"/>
      <c r="V120" s="54"/>
      <c r="W120" s="78"/>
      <c r="X120" s="78"/>
      <c r="Y120" s="78"/>
      <c r="Z120" s="54"/>
      <c r="AA120" s="54"/>
    </row>
    <row r="121" spans="1:27" ht="175.5" customHeight="1" x14ac:dyDescent="0.25">
      <c r="A121" s="256"/>
      <c r="B121" s="248"/>
      <c r="C121" s="260"/>
      <c r="D121" s="259"/>
      <c r="E121" s="250"/>
      <c r="F121" s="249"/>
      <c r="G121" s="250"/>
      <c r="H121" s="249"/>
      <c r="I121" s="251"/>
      <c r="J121" s="251"/>
      <c r="K121" s="251"/>
      <c r="L121" s="251"/>
      <c r="M121" s="251"/>
      <c r="N121" s="251"/>
      <c r="O121" s="251"/>
      <c r="P121" s="251"/>
      <c r="Q121" s="251"/>
      <c r="R121" s="178"/>
      <c r="S121" s="182"/>
      <c r="T121" s="181"/>
      <c r="U121" s="54"/>
      <c r="V121" s="54"/>
      <c r="W121" s="78">
        <f>I121+K121+M121+O121</f>
        <v>0</v>
      </c>
      <c r="X121" s="78">
        <f>J121+L121+N121+P121</f>
        <v>0</v>
      </c>
      <c r="Y121" s="78">
        <f t="shared" si="14"/>
        <v>0</v>
      </c>
      <c r="Z121" s="54"/>
      <c r="AA121" s="54"/>
    </row>
    <row r="122" spans="1:27" ht="20.25" x14ac:dyDescent="0.3">
      <c r="A122" s="86"/>
      <c r="B122" s="253" t="s">
        <v>261</v>
      </c>
      <c r="C122" s="253"/>
      <c r="D122" s="253"/>
      <c r="E122" s="253"/>
      <c r="F122" s="253"/>
      <c r="G122" s="253"/>
      <c r="H122" s="253"/>
      <c r="I122" s="113">
        <f>I10+I12+I54+I75</f>
        <v>11855805</v>
      </c>
      <c r="J122" s="113">
        <f t="shared" ref="J122:P122" si="17">J12+J54+J75+J11</f>
        <v>11966162.500000002</v>
      </c>
      <c r="K122" s="113">
        <f t="shared" si="17"/>
        <v>12374163.100000001</v>
      </c>
      <c r="L122" s="113">
        <f t="shared" si="17"/>
        <v>13703683.200000001</v>
      </c>
      <c r="M122" s="113">
        <f t="shared" si="17"/>
        <v>20080281.099999998</v>
      </c>
      <c r="N122" s="113">
        <f t="shared" si="17"/>
        <v>19026496.100000001</v>
      </c>
      <c r="O122" s="113">
        <f t="shared" si="17"/>
        <v>17419063.800000004</v>
      </c>
      <c r="P122" s="113">
        <f t="shared" si="17"/>
        <v>0</v>
      </c>
      <c r="Q122" s="170"/>
      <c r="R122" s="187">
        <v>61729313</v>
      </c>
      <c r="S122" s="188"/>
      <c r="T122" s="189"/>
      <c r="U122" s="54"/>
      <c r="V122" s="54"/>
      <c r="W122" s="78">
        <f>I122+K122+M122+O122</f>
        <v>61729313.000000007</v>
      </c>
      <c r="X122" s="78">
        <f>X75+X54+X12+X11</f>
        <v>44696341.800000004</v>
      </c>
      <c r="Y122" s="78">
        <f t="shared" si="14"/>
        <v>17032971.200000003</v>
      </c>
      <c r="Z122" s="54"/>
      <c r="AA122" s="54"/>
    </row>
    <row r="123" spans="1:27" s="190" customFormat="1" ht="59.25" customHeight="1" x14ac:dyDescent="0.3">
      <c r="A123" s="271" t="s">
        <v>517</v>
      </c>
      <c r="B123" s="271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70"/>
      <c r="S123" s="77"/>
      <c r="T123" s="54"/>
      <c r="U123" s="54"/>
      <c r="V123" s="54"/>
      <c r="W123" s="78"/>
      <c r="X123" s="78"/>
      <c r="Y123" s="78"/>
      <c r="Z123" s="54"/>
      <c r="AA123" s="54"/>
    </row>
    <row r="124" spans="1:27" s="190" customFormat="1" ht="111" customHeight="1" x14ac:dyDescent="0.25">
      <c r="A124" s="255" t="s">
        <v>516</v>
      </c>
      <c r="B124" s="255"/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70"/>
      <c r="S124" s="77">
        <f>J122+L122+N122-220.1</f>
        <v>44696121.700000003</v>
      </c>
      <c r="T124" s="54"/>
      <c r="U124" s="54"/>
      <c r="V124" s="54"/>
      <c r="W124" s="64"/>
      <c r="X124" s="64"/>
      <c r="Y124" s="64"/>
      <c r="Z124" s="54"/>
      <c r="AA124" s="54"/>
    </row>
    <row r="125" spans="1:27" s="190" customFormat="1" ht="23.25" x14ac:dyDescent="0.35">
      <c r="A125" s="254" t="s">
        <v>377</v>
      </c>
      <c r="B125" s="254"/>
      <c r="C125" s="254"/>
      <c r="D125" s="254"/>
      <c r="E125" s="87"/>
      <c r="F125" s="87"/>
      <c r="G125" s="87"/>
      <c r="H125" s="87"/>
      <c r="I125" s="88"/>
      <c r="J125" s="88"/>
      <c r="K125" s="88"/>
      <c r="L125" s="88"/>
      <c r="M125" s="88"/>
      <c r="N125" s="88"/>
      <c r="O125" s="88"/>
      <c r="P125" s="88"/>
      <c r="Q125" s="84"/>
      <c r="R125" s="70"/>
      <c r="S125" s="71"/>
      <c r="T125" s="54"/>
      <c r="U125" s="54"/>
      <c r="V125" s="54"/>
      <c r="W125" s="64"/>
      <c r="X125" s="64"/>
      <c r="Y125" s="64"/>
      <c r="Z125" s="54"/>
      <c r="AA125" s="54"/>
    </row>
    <row r="126" spans="1:27" s="190" customFormat="1" ht="27.75" x14ac:dyDescent="0.4">
      <c r="A126" s="254"/>
      <c r="B126" s="254"/>
      <c r="C126" s="254"/>
      <c r="D126" s="254"/>
      <c r="E126" s="66"/>
      <c r="F126" s="66"/>
      <c r="G126" s="66"/>
      <c r="H126" s="66"/>
      <c r="I126" s="89"/>
      <c r="J126" s="89"/>
      <c r="K126" s="89"/>
      <c r="L126" s="89"/>
      <c r="M126" s="89"/>
      <c r="N126" s="89"/>
      <c r="O126" s="89"/>
      <c r="P126" s="89"/>
      <c r="Q126" s="90" t="s">
        <v>265</v>
      </c>
      <c r="R126" s="91"/>
      <c r="S126" s="92"/>
      <c r="T126" s="93"/>
      <c r="U126" s="54"/>
      <c r="V126" s="54"/>
      <c r="W126" s="64"/>
      <c r="X126" s="78"/>
      <c r="Y126" s="64"/>
      <c r="Z126" s="54"/>
      <c r="AA126" s="54"/>
    </row>
    <row r="127" spans="1:27" ht="26.25" x14ac:dyDescent="0.4">
      <c r="A127" s="66"/>
      <c r="B127" s="66"/>
      <c r="C127" s="66"/>
      <c r="D127" s="65"/>
      <c r="E127" s="66"/>
      <c r="F127" s="66"/>
      <c r="G127" s="66"/>
      <c r="H127" s="66"/>
      <c r="I127" s="89"/>
      <c r="J127" s="89"/>
      <c r="K127" s="89"/>
      <c r="L127" s="89"/>
      <c r="M127" s="89"/>
      <c r="N127" s="89"/>
      <c r="O127" s="89"/>
      <c r="P127" s="89"/>
      <c r="Q127" s="94"/>
      <c r="R127" s="91"/>
      <c r="S127" s="92"/>
      <c r="T127" s="93"/>
      <c r="U127" s="54"/>
      <c r="V127" s="54"/>
      <c r="W127" s="64"/>
      <c r="X127" s="64"/>
      <c r="Y127" s="64"/>
      <c r="Z127" s="54"/>
      <c r="AA127" s="54"/>
    </row>
    <row r="128" spans="1:27" ht="18.75" x14ac:dyDescent="0.3">
      <c r="A128" s="166"/>
      <c r="B128" s="95"/>
      <c r="C128" s="76"/>
      <c r="D128" s="140"/>
      <c r="E128" s="76"/>
      <c r="F128" s="76"/>
      <c r="G128" s="76"/>
      <c r="H128" s="76"/>
      <c r="I128" s="89"/>
      <c r="J128" s="89"/>
      <c r="K128" s="89"/>
      <c r="L128" s="89"/>
      <c r="M128" s="89"/>
      <c r="N128" s="89"/>
      <c r="O128" s="89"/>
      <c r="P128" s="89"/>
      <c r="Q128" s="84"/>
      <c r="R128" s="70"/>
      <c r="S128" s="71"/>
      <c r="T128" s="54"/>
      <c r="U128" s="54"/>
      <c r="V128" s="54"/>
      <c r="W128" s="64"/>
      <c r="X128" s="64"/>
      <c r="Y128" s="64"/>
      <c r="Z128" s="54"/>
      <c r="AA128" s="54"/>
    </row>
    <row r="132" spans="1:14" ht="18.75" x14ac:dyDescent="0.25">
      <c r="A132" s="252" t="s">
        <v>518</v>
      </c>
      <c r="B132" s="252"/>
      <c r="N132" s="70"/>
    </row>
    <row r="133" spans="1:14" ht="18.75" x14ac:dyDescent="0.25">
      <c r="A133" s="252"/>
      <c r="B133" s="252"/>
      <c r="N133" s="70"/>
    </row>
    <row r="134" spans="1:14" ht="18.75" x14ac:dyDescent="0.25">
      <c r="A134" s="252"/>
      <c r="B134" s="252"/>
      <c r="N134" s="70"/>
    </row>
    <row r="135" spans="1:14" x14ac:dyDescent="0.25">
      <c r="A135" s="252"/>
      <c r="B135" s="252"/>
    </row>
    <row r="148" ht="15" customHeight="1" x14ac:dyDescent="0.25"/>
    <row r="149" ht="15" customHeight="1" x14ac:dyDescent="0.25"/>
  </sheetData>
  <protectedRanges>
    <protectedRange sqref="N1:N9 N11 N76:N81 N116:N128 N13:N53 N56:N74 N83:N115" name="Диапазон1"/>
  </protectedRanges>
  <autoFilter ref="A9:Q9"/>
  <mergeCells count="281">
    <mergeCell ref="A42:A44"/>
    <mergeCell ref="D42:D44"/>
    <mergeCell ref="C42:C44"/>
    <mergeCell ref="B42:B44"/>
    <mergeCell ref="K42:K44"/>
    <mergeCell ref="J42:J44"/>
    <mergeCell ref="I42:I44"/>
    <mergeCell ref="H42:H44"/>
    <mergeCell ref="G42:G44"/>
    <mergeCell ref="F42:F44"/>
    <mergeCell ref="E42:E44"/>
    <mergeCell ref="L87:L88"/>
    <mergeCell ref="K87:K88"/>
    <mergeCell ref="J87:J88"/>
    <mergeCell ref="I87:I88"/>
    <mergeCell ref="H87:H88"/>
    <mergeCell ref="G87:G88"/>
    <mergeCell ref="P30:P31"/>
    <mergeCell ref="A123:Q123"/>
    <mergeCell ref="D87:D88"/>
    <mergeCell ref="A87:A88"/>
    <mergeCell ref="C87:C88"/>
    <mergeCell ref="Q87:Q88"/>
    <mergeCell ref="P87:P88"/>
    <mergeCell ref="O87:O88"/>
    <mergeCell ref="N87:N88"/>
    <mergeCell ref="B87:B88"/>
    <mergeCell ref="B106:B107"/>
    <mergeCell ref="Q106:Q107"/>
    <mergeCell ref="P106:P107"/>
    <mergeCell ref="O106:O107"/>
    <mergeCell ref="N106:N107"/>
    <mergeCell ref="M106:M107"/>
    <mergeCell ref="L106:L107"/>
    <mergeCell ref="K106:K107"/>
    <mergeCell ref="D30:D31"/>
    <mergeCell ref="C30:C31"/>
    <mergeCell ref="A30:A31"/>
    <mergeCell ref="B30:B31"/>
    <mergeCell ref="A36:A37"/>
    <mergeCell ref="B36:B37"/>
    <mergeCell ref="C36:C37"/>
    <mergeCell ref="D36:D37"/>
    <mergeCell ref="E36:E37"/>
    <mergeCell ref="B1:P1"/>
    <mergeCell ref="B2:P2"/>
    <mergeCell ref="B3:P3"/>
    <mergeCell ref="B4:P4"/>
    <mergeCell ref="I120:I121"/>
    <mergeCell ref="H120:H121"/>
    <mergeCell ref="G120:G121"/>
    <mergeCell ref="F120:F121"/>
    <mergeCell ref="C120:C121"/>
    <mergeCell ref="B120:B121"/>
    <mergeCell ref="F87:F88"/>
    <mergeCell ref="E87:E88"/>
    <mergeCell ref="C6:C8"/>
    <mergeCell ref="B6:B8"/>
    <mergeCell ref="D6:D8"/>
    <mergeCell ref="E6:E8"/>
    <mergeCell ref="F6:F8"/>
    <mergeCell ref="G6:G8"/>
    <mergeCell ref="E30:E31"/>
    <mergeCell ref="F30:F31"/>
    <mergeCell ref="G30:G31"/>
    <mergeCell ref="H30:H31"/>
    <mergeCell ref="N30:N31"/>
    <mergeCell ref="O30:O31"/>
    <mergeCell ref="Q24:Q25"/>
    <mergeCell ref="H24:H25"/>
    <mergeCell ref="I24:I25"/>
    <mergeCell ref="J24:J25"/>
    <mergeCell ref="K24:K25"/>
    <mergeCell ref="L24:L25"/>
    <mergeCell ref="M24:M25"/>
    <mergeCell ref="Q6:Q8"/>
    <mergeCell ref="I7:J7"/>
    <mergeCell ref="K7:L7"/>
    <mergeCell ref="M7:N7"/>
    <mergeCell ref="O7:P7"/>
    <mergeCell ref="H6:H8"/>
    <mergeCell ref="I6:P6"/>
    <mergeCell ref="B12:H12"/>
    <mergeCell ref="N24:N25"/>
    <mergeCell ref="O24:O25"/>
    <mergeCell ref="A24:A25"/>
    <mergeCell ref="B24:B25"/>
    <mergeCell ref="C24:C25"/>
    <mergeCell ref="D24:D25"/>
    <mergeCell ref="E24:E25"/>
    <mergeCell ref="F24:F25"/>
    <mergeCell ref="G24:G25"/>
    <mergeCell ref="P24:P25"/>
    <mergeCell ref="A6:A8"/>
    <mergeCell ref="O36:O37"/>
    <mergeCell ref="P36:P37"/>
    <mergeCell ref="N36:N37"/>
    <mergeCell ref="M30:M31"/>
    <mergeCell ref="Q36:Q37"/>
    <mergeCell ref="F36:F37"/>
    <mergeCell ref="G36:G37"/>
    <mergeCell ref="H36:H37"/>
    <mergeCell ref="I36:I37"/>
    <mergeCell ref="J36:J37"/>
    <mergeCell ref="K36:K37"/>
    <mergeCell ref="Q30:Q31"/>
    <mergeCell ref="L30:L31"/>
    <mergeCell ref="K30:K31"/>
    <mergeCell ref="J30:J31"/>
    <mergeCell ref="I30:I31"/>
    <mergeCell ref="L36:L37"/>
    <mergeCell ref="M36:M37"/>
    <mergeCell ref="B54:H54"/>
    <mergeCell ref="N85:N86"/>
    <mergeCell ref="B75:H75"/>
    <mergeCell ref="J85:J86"/>
    <mergeCell ref="O79:O80"/>
    <mergeCell ref="Q42:Q44"/>
    <mergeCell ref="P42:P44"/>
    <mergeCell ref="O42:O44"/>
    <mergeCell ref="N42:N44"/>
    <mergeCell ref="M42:M44"/>
    <mergeCell ref="L42:L44"/>
    <mergeCell ref="A79:A80"/>
    <mergeCell ref="B79:B80"/>
    <mergeCell ref="C79:C80"/>
    <mergeCell ref="D79:D80"/>
    <mergeCell ref="E79:E80"/>
    <mergeCell ref="F79:F80"/>
    <mergeCell ref="G79:G80"/>
    <mergeCell ref="H79:H80"/>
    <mergeCell ref="I85:I86"/>
    <mergeCell ref="A85:A86"/>
    <mergeCell ref="N90:N91"/>
    <mergeCell ref="O90:O91"/>
    <mergeCell ref="P79:P80"/>
    <mergeCell ref="Q79:Q80"/>
    <mergeCell ref="B85:B86"/>
    <mergeCell ref="C85:C86"/>
    <mergeCell ref="D85:D86"/>
    <mergeCell ref="E85:E86"/>
    <mergeCell ref="F85:F86"/>
    <mergeCell ref="G85:G86"/>
    <mergeCell ref="H85:H86"/>
    <mergeCell ref="I79:I80"/>
    <mergeCell ref="J79:J80"/>
    <mergeCell ref="K79:K80"/>
    <mergeCell ref="L79:L80"/>
    <mergeCell ref="M79:M80"/>
    <mergeCell ref="N79:N80"/>
    <mergeCell ref="O85:O86"/>
    <mergeCell ref="P85:P86"/>
    <mergeCell ref="Q85:Q86"/>
    <mergeCell ref="K85:K86"/>
    <mergeCell ref="L85:L86"/>
    <mergeCell ref="M85:M86"/>
    <mergeCell ref="M87:M88"/>
    <mergeCell ref="A94:A95"/>
    <mergeCell ref="B94:B95"/>
    <mergeCell ref="C94:C95"/>
    <mergeCell ref="D94:D95"/>
    <mergeCell ref="E94:E95"/>
    <mergeCell ref="P90:P91"/>
    <mergeCell ref="Q90:Q91"/>
    <mergeCell ref="H90:H91"/>
    <mergeCell ref="I90:I91"/>
    <mergeCell ref="J90:J91"/>
    <mergeCell ref="K90:K91"/>
    <mergeCell ref="L90:L91"/>
    <mergeCell ref="M90:M91"/>
    <mergeCell ref="A90:A91"/>
    <mergeCell ref="B90:B91"/>
    <mergeCell ref="C90:C91"/>
    <mergeCell ref="D90:D91"/>
    <mergeCell ref="E90:E91"/>
    <mergeCell ref="F90:F91"/>
    <mergeCell ref="G90:G91"/>
    <mergeCell ref="L94:L95"/>
    <mergeCell ref="M94:M95"/>
    <mergeCell ref="N94:N95"/>
    <mergeCell ref="O94:O95"/>
    <mergeCell ref="P94:P95"/>
    <mergeCell ref="Q94:Q95"/>
    <mergeCell ref="F94:F95"/>
    <mergeCell ref="G94:G95"/>
    <mergeCell ref="H94:H95"/>
    <mergeCell ref="I94:I95"/>
    <mergeCell ref="J94:J95"/>
    <mergeCell ref="K94:K95"/>
    <mergeCell ref="M104:M105"/>
    <mergeCell ref="N104:N105"/>
    <mergeCell ref="O104:O105"/>
    <mergeCell ref="P104:P105"/>
    <mergeCell ref="Q104:Q105"/>
    <mergeCell ref="K104:K105"/>
    <mergeCell ref="L104:L105"/>
    <mergeCell ref="A108:A109"/>
    <mergeCell ref="B108:B109"/>
    <mergeCell ref="C108:C109"/>
    <mergeCell ref="D108:D109"/>
    <mergeCell ref="E108:E109"/>
    <mergeCell ref="G104:G105"/>
    <mergeCell ref="H104:H105"/>
    <mergeCell ref="I104:I105"/>
    <mergeCell ref="J104:J105"/>
    <mergeCell ref="A104:A105"/>
    <mergeCell ref="B104:B105"/>
    <mergeCell ref="C104:C105"/>
    <mergeCell ref="D104:D105"/>
    <mergeCell ref="E104:E105"/>
    <mergeCell ref="F104:F105"/>
    <mergeCell ref="A106:A107"/>
    <mergeCell ref="D106:D107"/>
    <mergeCell ref="C106:C107"/>
    <mergeCell ref="J106:J107"/>
    <mergeCell ref="I106:I107"/>
    <mergeCell ref="H106:H107"/>
    <mergeCell ref="G106:G107"/>
    <mergeCell ref="F106:F107"/>
    <mergeCell ref="E106:E107"/>
    <mergeCell ref="L108:L109"/>
    <mergeCell ref="M108:M109"/>
    <mergeCell ref="N108:N109"/>
    <mergeCell ref="O108:O109"/>
    <mergeCell ref="P108:P109"/>
    <mergeCell ref="Q108:Q109"/>
    <mergeCell ref="F108:F109"/>
    <mergeCell ref="G108:G109"/>
    <mergeCell ref="H108:H109"/>
    <mergeCell ref="I108:I109"/>
    <mergeCell ref="J108:J109"/>
    <mergeCell ref="K108:K109"/>
    <mergeCell ref="Q113:Q114"/>
    <mergeCell ref="F113:F114"/>
    <mergeCell ref="G113:G114"/>
    <mergeCell ref="H113:H114"/>
    <mergeCell ref="I113:I114"/>
    <mergeCell ref="J113:J114"/>
    <mergeCell ref="K113:K114"/>
    <mergeCell ref="A113:A114"/>
    <mergeCell ref="B113:B114"/>
    <mergeCell ref="C113:C114"/>
    <mergeCell ref="D113:D114"/>
    <mergeCell ref="E113:E114"/>
    <mergeCell ref="L113:L114"/>
    <mergeCell ref="M113:M114"/>
    <mergeCell ref="N113:N114"/>
    <mergeCell ref="O113:O114"/>
    <mergeCell ref="J120:J121"/>
    <mergeCell ref="D120:D121"/>
    <mergeCell ref="A120:A121"/>
    <mergeCell ref="L116:L118"/>
    <mergeCell ref="M116:M118"/>
    <mergeCell ref="N116:N118"/>
    <mergeCell ref="O116:O118"/>
    <mergeCell ref="P113:P114"/>
    <mergeCell ref="P116:P118"/>
    <mergeCell ref="Q116:Q118"/>
    <mergeCell ref="F116:F118"/>
    <mergeCell ref="G116:G118"/>
    <mergeCell ref="H116:H118"/>
    <mergeCell ref="I116:I118"/>
    <mergeCell ref="J116:J118"/>
    <mergeCell ref="K116:K118"/>
    <mergeCell ref="A132:B135"/>
    <mergeCell ref="B122:H122"/>
    <mergeCell ref="A125:D126"/>
    <mergeCell ref="A124:Q124"/>
    <mergeCell ref="A116:A118"/>
    <mergeCell ref="B116:B118"/>
    <mergeCell ref="C116:C118"/>
    <mergeCell ref="D116:D118"/>
    <mergeCell ref="E116:E118"/>
    <mergeCell ref="E120:E121"/>
    <mergeCell ref="Q120:Q121"/>
    <mergeCell ref="P120:P121"/>
    <mergeCell ref="O120:O121"/>
    <mergeCell ref="N120:N121"/>
    <mergeCell ref="M120:M121"/>
    <mergeCell ref="L120:L121"/>
    <mergeCell ref="K120:K121"/>
  </mergeCells>
  <hyperlinks>
    <hyperlink ref="C6" r:id="rId1" display="consultantplus://offline/ref=296E051552D9B0DE54C4EEA366783458DCF3E2F270B1C5BE0EE0B1036681A6753D4434517D8E791EF555ABSAVCG"/>
  </hyperlinks>
  <pageMargins left="0.70866141732283472" right="0.70866141732283472" top="0.74803149606299213" bottom="0.74803149606299213" header="0.31496062992125984" footer="0.31496062992125984"/>
  <pageSetup paperSize="9" scale="35" orientation="landscape" r:id="rId2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Финансирование</vt:lpstr>
      <vt:lpstr>Показатели, Критерии</vt:lpstr>
      <vt:lpstr>План реализации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2020-11-24T08:22:52Z</dcterms:modified>
</cp:coreProperties>
</file>